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https://indiana-my.sharepoint.com/personal/ihozo_iu_edu/Documents/Research/models/Tromboza/ASH_2024_ALL cases/"/>
    </mc:Choice>
  </mc:AlternateContent>
  <xr:revisionPtr revIDLastSave="474" documentId="8_{9424AA6C-56EA-44B5-A7BC-2E5DD433E578}" xr6:coauthVersionLast="47" xr6:coauthVersionMax="47" xr10:uidLastSave="{86CD0FD9-9E79-4BBD-8E12-8440AB3C43B2}"/>
  <bookViews>
    <workbookView xWindow="1065" yWindow="120" windowWidth="27735" windowHeight="14910" firstSheet="7" activeTab="3" xr2:uid="{C24B0A8F-6BFF-4DB8-9B5A-38F910C082A5}"/>
  </bookViews>
  <sheets>
    <sheet name="Introduction" sheetId="18" r:id="rId1"/>
    <sheet name="Tutorial-examples" sheetId="19" r:id="rId2"/>
    <sheet name="ASH recommendations" sheetId="16" r:id="rId3"/>
    <sheet name="R1-R10" sheetId="11" r:id="rId4"/>
    <sheet name="R11-R14,R21-R23" sheetId="13" r:id="rId5"/>
    <sheet name="R15-R20" sheetId="12" r:id="rId6"/>
    <sheet name="Agreement" sheetId="14" r:id="rId7"/>
    <sheet name="Comments" sheetId="15" r:id="rId8"/>
  </sheets>
  <definedNames>
    <definedName name="INPUT_Table" localSheetId="4">'R11-R14,R21-R23'!$B$40:$J$67</definedName>
    <definedName name="INPUT_Table" localSheetId="5">'R15-R20'!$B$41:$K$61</definedName>
    <definedName name="INPUT_Table">'R1-R10'!$B$40:$J$49</definedName>
    <definedName name="Rec_Table" localSheetId="4">'R11-R14,R21-R23'!$K$40:$P$67</definedName>
    <definedName name="Rec_Table" localSheetId="5">'R15-R20'!$L$41:$T$61</definedName>
    <definedName name="Rec_Table">'R1-R10'!$K$40:$P$49</definedName>
    <definedName name="solver_adj" localSheetId="5" hidden="1">'R15-R20'!$I$81</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'R15-R20'!$P$83</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5" l="1"/>
  <c r="C68" i="15"/>
  <c r="G67" i="15"/>
  <c r="C67" i="15"/>
  <c r="G66" i="15"/>
  <c r="C66" i="15"/>
  <c r="G65" i="15"/>
  <c r="C65" i="15"/>
  <c r="G64" i="15"/>
  <c r="C64" i="15"/>
  <c r="G63" i="15"/>
  <c r="C63" i="15"/>
  <c r="G62" i="15"/>
  <c r="C62" i="15"/>
  <c r="G61" i="15"/>
  <c r="C61" i="15"/>
  <c r="G60" i="15"/>
  <c r="C60" i="15"/>
  <c r="G59" i="15"/>
  <c r="C59" i="15"/>
  <c r="G58" i="15"/>
  <c r="C58" i="15"/>
  <c r="G57" i="15"/>
  <c r="C57" i="15"/>
  <c r="G56" i="15"/>
  <c r="C56" i="15"/>
  <c r="G55" i="15"/>
  <c r="C55" i="15"/>
  <c r="G54" i="15"/>
  <c r="C54" i="15"/>
  <c r="G53" i="15"/>
  <c r="C53" i="15"/>
  <c r="G52" i="15"/>
  <c r="C52" i="15"/>
  <c r="G51" i="15"/>
  <c r="C51" i="15"/>
  <c r="G50" i="15"/>
  <c r="C50" i="15"/>
  <c r="G49" i="15"/>
  <c r="C49" i="15"/>
  <c r="G48" i="15"/>
  <c r="C48" i="15"/>
  <c r="G47" i="15"/>
  <c r="C47" i="15"/>
  <c r="G46" i="15"/>
  <c r="C46" i="15"/>
  <c r="G45" i="15"/>
  <c r="C45" i="15"/>
  <c r="G44" i="15"/>
  <c r="C44" i="15"/>
  <c r="G43" i="15"/>
  <c r="C43" i="15"/>
  <c r="G42" i="15"/>
  <c r="C42" i="15"/>
  <c r="G41" i="15"/>
  <c r="C41" i="15"/>
  <c r="H36" i="15"/>
  <c r="G36" i="15"/>
  <c r="C36" i="15"/>
  <c r="H35" i="15"/>
  <c r="G35" i="15"/>
  <c r="C35" i="15"/>
  <c r="H34" i="15"/>
  <c r="G34" i="15"/>
  <c r="C34" i="15"/>
  <c r="H33" i="15"/>
  <c r="G33" i="15"/>
  <c r="C33" i="15"/>
  <c r="H32" i="15"/>
  <c r="G32" i="15"/>
  <c r="C32" i="15"/>
  <c r="H31" i="15"/>
  <c r="G31" i="15"/>
  <c r="C31" i="15"/>
  <c r="H30" i="15"/>
  <c r="G30" i="15"/>
  <c r="C30" i="15"/>
  <c r="H29" i="15"/>
  <c r="G29" i="15"/>
  <c r="C29" i="15"/>
  <c r="H28" i="15"/>
  <c r="G28" i="15"/>
  <c r="C28" i="15"/>
  <c r="H27" i="15"/>
  <c r="G27" i="15"/>
  <c r="C27" i="15"/>
  <c r="D32" i="18"/>
  <c r="E13" i="18"/>
  <c r="G7" i="14"/>
  <c r="G6" i="14"/>
  <c r="G5" i="14"/>
  <c r="G4" i="14"/>
  <c r="M74" i="14"/>
  <c r="B3" i="14"/>
  <c r="I82" i="14"/>
  <c r="M82" i="14" s="1"/>
  <c r="I81" i="14"/>
  <c r="M81" i="14" s="1"/>
  <c r="I80" i="14"/>
  <c r="M80" i="14" s="1"/>
  <c r="I79" i="14"/>
  <c r="M79" i="14" s="1"/>
  <c r="I78" i="14"/>
  <c r="M78" i="14" s="1"/>
  <c r="I77" i="14"/>
  <c r="M77" i="14" s="1"/>
  <c r="I76" i="14"/>
  <c r="M76" i="14" s="1"/>
  <c r="I75" i="14"/>
  <c r="M75" i="14" s="1"/>
  <c r="I74" i="14"/>
  <c r="I73" i="14"/>
  <c r="M73" i="14" s="1"/>
  <c r="I72" i="14"/>
  <c r="M72" i="14" s="1"/>
  <c r="I71" i="14"/>
  <c r="M71" i="14" s="1"/>
  <c r="I70" i="14"/>
  <c r="M70" i="14" s="1"/>
  <c r="I69" i="14"/>
  <c r="M69" i="14" s="1"/>
  <c r="I68" i="14"/>
  <c r="M68" i="14" s="1"/>
  <c r="I67" i="14"/>
  <c r="M67" i="14" s="1"/>
  <c r="I66" i="14"/>
  <c r="M66" i="14" s="1"/>
  <c r="I65" i="14"/>
  <c r="M65" i="14" s="1"/>
  <c r="I64" i="14"/>
  <c r="M64" i="14" s="1"/>
  <c r="I63" i="14"/>
  <c r="M63" i="14" s="1"/>
  <c r="I62" i="14"/>
  <c r="M62" i="14" s="1"/>
  <c r="I61" i="14"/>
  <c r="M61" i="14" s="1"/>
  <c r="I60" i="14"/>
  <c r="M60" i="14" s="1"/>
  <c r="I59" i="14"/>
  <c r="M59" i="14" s="1"/>
  <c r="I58" i="14"/>
  <c r="M58" i="14" s="1"/>
  <c r="I57" i="14"/>
  <c r="M57" i="14" s="1"/>
  <c r="I56" i="14"/>
  <c r="M56" i="14" s="1"/>
  <c r="I55" i="14"/>
  <c r="M55" i="14" s="1"/>
  <c r="I54" i="14"/>
  <c r="M54" i="14" s="1"/>
  <c r="I53" i="14"/>
  <c r="M53" i="14" s="1"/>
  <c r="I52" i="14"/>
  <c r="M52" i="14" s="1"/>
  <c r="I51" i="14"/>
  <c r="M51" i="14" s="1"/>
  <c r="I50" i="14"/>
  <c r="M50" i="14" s="1"/>
  <c r="I49" i="14"/>
  <c r="M49" i="14" s="1"/>
  <c r="I48" i="14"/>
  <c r="M48" i="14" s="1"/>
  <c r="I47" i="14"/>
  <c r="M47" i="14" s="1"/>
  <c r="I46" i="14"/>
  <c r="M46" i="14" s="1"/>
  <c r="I45" i="14"/>
  <c r="M45" i="14" s="1"/>
  <c r="I44" i="14"/>
  <c r="M44" i="14" s="1"/>
  <c r="I43" i="14"/>
  <c r="M43" i="14" s="1"/>
  <c r="I42" i="14"/>
  <c r="M42" i="14" s="1"/>
  <c r="I41" i="14"/>
  <c r="M41" i="14" s="1"/>
  <c r="I40" i="14"/>
  <c r="M40" i="14" s="1"/>
  <c r="I39" i="14"/>
  <c r="M39" i="14" s="1"/>
  <c r="I38" i="14"/>
  <c r="M38" i="14" s="1"/>
  <c r="I37" i="14"/>
  <c r="M37" i="14" s="1"/>
  <c r="I36" i="14"/>
  <c r="M36" i="14" s="1"/>
  <c r="I35" i="14"/>
  <c r="M35" i="14" s="1"/>
  <c r="I34" i="14"/>
  <c r="M34" i="14" s="1"/>
  <c r="I33" i="14"/>
  <c r="M33" i="14" s="1"/>
  <c r="I32" i="14"/>
  <c r="M32" i="14" s="1"/>
  <c r="I31" i="14"/>
  <c r="M31" i="14" s="1"/>
  <c r="I30" i="14"/>
  <c r="M30" i="14" s="1"/>
  <c r="I29" i="14"/>
  <c r="M29" i="14" s="1"/>
  <c r="I28" i="14"/>
  <c r="M28" i="14" s="1"/>
  <c r="I27" i="14"/>
  <c r="M27" i="14" s="1"/>
  <c r="I26" i="14"/>
  <c r="M26" i="14" s="1"/>
  <c r="I25" i="14"/>
  <c r="M25" i="14" s="1"/>
  <c r="I24" i="14"/>
  <c r="M24" i="14" s="1"/>
  <c r="I23" i="14"/>
  <c r="M23" i="14" s="1"/>
  <c r="I22" i="14"/>
  <c r="M22" i="14" s="1"/>
  <c r="I21" i="14"/>
  <c r="M21" i="14" s="1"/>
  <c r="I20" i="14"/>
  <c r="M20" i="14" s="1"/>
  <c r="I19" i="14"/>
  <c r="M19" i="14" s="1"/>
  <c r="I18" i="14"/>
  <c r="M18" i="14" s="1"/>
  <c r="E82" i="14"/>
  <c r="L82" i="14" s="1"/>
  <c r="E81" i="14"/>
  <c r="L81" i="14" s="1"/>
  <c r="E80" i="14"/>
  <c r="L80" i="14" s="1"/>
  <c r="E79" i="14"/>
  <c r="L79" i="14" s="1"/>
  <c r="E78" i="14"/>
  <c r="L78" i="14" s="1"/>
  <c r="E77" i="14"/>
  <c r="L77" i="14" s="1"/>
  <c r="E76" i="14"/>
  <c r="L76" i="14" s="1"/>
  <c r="E75" i="14"/>
  <c r="L75" i="14" s="1"/>
  <c r="E74" i="14"/>
  <c r="L74" i="14" s="1"/>
  <c r="E73" i="14"/>
  <c r="L73" i="14" s="1"/>
  <c r="E72" i="14"/>
  <c r="L72" i="14" s="1"/>
  <c r="E71" i="14"/>
  <c r="L71" i="14" s="1"/>
  <c r="E70" i="14"/>
  <c r="L70" i="14" s="1"/>
  <c r="E69" i="14"/>
  <c r="L69" i="14" s="1"/>
  <c r="E68" i="14"/>
  <c r="L68" i="14" s="1"/>
  <c r="E67" i="14"/>
  <c r="L67" i="14" s="1"/>
  <c r="E66" i="14"/>
  <c r="L66" i="14" s="1"/>
  <c r="E65" i="14"/>
  <c r="L65" i="14" s="1"/>
  <c r="E64" i="14"/>
  <c r="L64" i="14" s="1"/>
  <c r="E63" i="14"/>
  <c r="L63" i="14" s="1"/>
  <c r="E62" i="14"/>
  <c r="L62" i="14" s="1"/>
  <c r="E61" i="14"/>
  <c r="L61" i="14" s="1"/>
  <c r="E60" i="14"/>
  <c r="L60" i="14" s="1"/>
  <c r="E59" i="14"/>
  <c r="L59" i="14" s="1"/>
  <c r="E58" i="14"/>
  <c r="L58" i="14" s="1"/>
  <c r="E57" i="14"/>
  <c r="L57" i="14" s="1"/>
  <c r="E56" i="14"/>
  <c r="L56" i="14" s="1"/>
  <c r="E55" i="14"/>
  <c r="L55" i="14" s="1"/>
  <c r="E54" i="14"/>
  <c r="L54" i="14" s="1"/>
  <c r="E53" i="14"/>
  <c r="L53" i="14" s="1"/>
  <c r="E52" i="14"/>
  <c r="L52" i="14" s="1"/>
  <c r="E51" i="14"/>
  <c r="L51" i="14" s="1"/>
  <c r="E50" i="14"/>
  <c r="L50" i="14" s="1"/>
  <c r="E49" i="14"/>
  <c r="L49" i="14" s="1"/>
  <c r="E48" i="14"/>
  <c r="L48" i="14" s="1"/>
  <c r="E47" i="14"/>
  <c r="L47" i="14" s="1"/>
  <c r="E46" i="14"/>
  <c r="L46" i="14" s="1"/>
  <c r="E45" i="14"/>
  <c r="L45" i="14" s="1"/>
  <c r="E44" i="14"/>
  <c r="L44" i="14" s="1"/>
  <c r="E43" i="14"/>
  <c r="L43" i="14" s="1"/>
  <c r="E42" i="14"/>
  <c r="L42" i="14" s="1"/>
  <c r="E41" i="14"/>
  <c r="L41" i="14" s="1"/>
  <c r="E40" i="14"/>
  <c r="L40" i="14" s="1"/>
  <c r="E39" i="14"/>
  <c r="L39" i="14" s="1"/>
  <c r="E38" i="14"/>
  <c r="L38" i="14" s="1"/>
  <c r="E37" i="14"/>
  <c r="L37" i="14" s="1"/>
  <c r="E36" i="14"/>
  <c r="L36" i="14" s="1"/>
  <c r="E35" i="14"/>
  <c r="L35" i="14" s="1"/>
  <c r="E34" i="14"/>
  <c r="L34" i="14" s="1"/>
  <c r="E33" i="14"/>
  <c r="L33" i="14" s="1"/>
  <c r="E32" i="14"/>
  <c r="L32" i="14" s="1"/>
  <c r="E31" i="14"/>
  <c r="L31" i="14" s="1"/>
  <c r="E30" i="14"/>
  <c r="L30" i="14" s="1"/>
  <c r="E29" i="14"/>
  <c r="L29" i="14" s="1"/>
  <c r="E28" i="14"/>
  <c r="L28" i="14" s="1"/>
  <c r="E27" i="14"/>
  <c r="L27" i="14" s="1"/>
  <c r="E26" i="14"/>
  <c r="L26" i="14" s="1"/>
  <c r="E25" i="14"/>
  <c r="L25" i="14" s="1"/>
  <c r="E24" i="14"/>
  <c r="L24" i="14" s="1"/>
  <c r="E23" i="14"/>
  <c r="L23" i="14" s="1"/>
  <c r="E22" i="14"/>
  <c r="L22" i="14" s="1"/>
  <c r="E21" i="14"/>
  <c r="L21" i="14" s="1"/>
  <c r="E20" i="14"/>
  <c r="L20" i="14" s="1"/>
  <c r="E19" i="14"/>
  <c r="L19" i="14" s="1"/>
  <c r="E18" i="14"/>
  <c r="L18" i="14" s="1"/>
  <c r="E17" i="14"/>
  <c r="L17" i="14" s="1"/>
  <c r="E16" i="14"/>
  <c r="L16" i="14" s="1"/>
  <c r="E15" i="14"/>
  <c r="L15" i="14" s="1"/>
  <c r="I17" i="14"/>
  <c r="M17" i="14" s="1"/>
  <c r="I16" i="14"/>
  <c r="M16" i="14" s="1"/>
  <c r="I15" i="14"/>
  <c r="M15" i="14" s="1"/>
  <c r="I14" i="14"/>
  <c r="M14" i="14" s="1"/>
  <c r="E14" i="14"/>
  <c r="L14" i="14" s="1"/>
  <c r="Y69" i="12"/>
  <c r="X69" i="12"/>
  <c r="J76" i="12"/>
  <c r="Y89" i="12"/>
  <c r="Y83" i="12"/>
  <c r="Y77" i="12"/>
  <c r="J79" i="12"/>
  <c r="W67" i="12"/>
  <c r="X77" i="12"/>
  <c r="X76" i="12"/>
  <c r="W69" i="13"/>
  <c r="J81" i="13"/>
  <c r="J78" i="13"/>
  <c r="Y71" i="13"/>
  <c r="Y85" i="13" s="1"/>
  <c r="X71" i="13"/>
  <c r="P76" i="13"/>
  <c r="S76" i="13" s="1"/>
  <c r="X79" i="13"/>
  <c r="X78" i="13"/>
  <c r="K10" i="12"/>
  <c r="K9" i="13"/>
  <c r="W50" i="11"/>
  <c r="Y52" i="11"/>
  <c r="X52" i="11"/>
  <c r="Y51" i="11"/>
  <c r="X51" i="11"/>
  <c r="Y72" i="11"/>
  <c r="Y66" i="11"/>
  <c r="Y60" i="11"/>
  <c r="K9" i="11"/>
  <c r="X60" i="11"/>
  <c r="E7" i="14" l="1"/>
  <c r="C6" i="14"/>
  <c r="D6" i="14" s="1"/>
  <c r="E6" i="14"/>
  <c r="F6" i="14" s="1"/>
  <c r="C5" i="14"/>
  <c r="D5" i="14" s="1"/>
  <c r="E5" i="14"/>
  <c r="F5" i="14" s="1"/>
  <c r="C7" i="14"/>
  <c r="D7" i="14" s="1"/>
  <c r="C4" i="14"/>
  <c r="E4" i="14"/>
  <c r="G9" i="14"/>
  <c r="D4" i="14"/>
  <c r="F4" i="14"/>
  <c r="Y79" i="13"/>
  <c r="Y91" i="13"/>
  <c r="X59" i="11"/>
  <c r="P57" i="11"/>
  <c r="S57" i="11" s="1"/>
  <c r="G58" i="11"/>
  <c r="G64" i="11"/>
  <c r="B39" i="16"/>
  <c r="B36" i="16"/>
  <c r="B35" i="16"/>
  <c r="B34" i="16"/>
  <c r="B33" i="16"/>
  <c r="B32" i="16"/>
  <c r="B26" i="16"/>
  <c r="B56" i="16"/>
  <c r="B50" i="16"/>
  <c r="B46" i="16"/>
  <c r="B25" i="16"/>
  <c r="B22" i="16"/>
  <c r="B19" i="16"/>
  <c r="B15" i="16"/>
  <c r="B14" i="16"/>
  <c r="B13" i="16"/>
  <c r="B12" i="16"/>
  <c r="B9" i="16"/>
  <c r="B8" i="16"/>
  <c r="B7" i="16"/>
  <c r="B6" i="16"/>
  <c r="B5" i="16"/>
  <c r="B4" i="16"/>
  <c r="K61" i="12"/>
  <c r="K60" i="12"/>
  <c r="K59" i="12"/>
  <c r="K58" i="12"/>
  <c r="K57" i="12"/>
  <c r="K56" i="12"/>
  <c r="K55" i="12"/>
  <c r="K54" i="12"/>
  <c r="K53" i="12"/>
  <c r="K52" i="12"/>
  <c r="K51" i="12"/>
  <c r="K50" i="12"/>
  <c r="K49" i="12"/>
  <c r="K48" i="12"/>
  <c r="K47" i="12"/>
  <c r="K46" i="12"/>
  <c r="K45" i="12"/>
  <c r="K44" i="12"/>
  <c r="K43" i="12"/>
  <c r="K42" i="12"/>
  <c r="K41" i="12"/>
  <c r="F61" i="12"/>
  <c r="F60" i="12"/>
  <c r="F59" i="12"/>
  <c r="F58" i="12"/>
  <c r="F57" i="12"/>
  <c r="F56" i="12"/>
  <c r="F55" i="12"/>
  <c r="F54" i="12"/>
  <c r="F53" i="12"/>
  <c r="F52" i="12"/>
  <c r="F51" i="12"/>
  <c r="F50" i="12"/>
  <c r="F49" i="12"/>
  <c r="F48" i="12"/>
  <c r="F47" i="12"/>
  <c r="F46" i="12"/>
  <c r="F45" i="12"/>
  <c r="F44" i="12"/>
  <c r="F43" i="12"/>
  <c r="F42" i="12"/>
  <c r="F41" i="12"/>
  <c r="E9" i="14" l="1"/>
  <c r="E10" i="14" s="1"/>
  <c r="C9" i="14"/>
  <c r="C10" i="14" s="1"/>
  <c r="F7" i="14"/>
  <c r="F9" i="14" s="1"/>
  <c r="F10" i="14" s="1"/>
  <c r="D9" i="14"/>
  <c r="D10" i="14" s="1"/>
  <c r="J79" i="11"/>
  <c r="J90" i="11"/>
  <c r="J87" i="11"/>
  <c r="J65" i="11"/>
  <c r="J64" i="11"/>
  <c r="J66" i="11"/>
  <c r="J80" i="11"/>
  <c r="J81" i="11"/>
  <c r="J82" i="11"/>
  <c r="J67" i="11"/>
  <c r="J84" i="11"/>
  <c r="J69" i="11"/>
  <c r="J70" i="11"/>
  <c r="J71" i="11"/>
  <c r="J72" i="11"/>
  <c r="J74" i="11"/>
  <c r="J59" i="11"/>
  <c r="J75" i="11"/>
  <c r="J60" i="11"/>
  <c r="J76" i="11"/>
  <c r="J61" i="11"/>
  <c r="J77" i="11"/>
  <c r="J83" i="11"/>
  <c r="J68" i="11"/>
  <c r="J73" i="11"/>
  <c r="J62" i="11"/>
  <c r="J78" i="11"/>
  <c r="J63" i="11"/>
  <c r="G43" i="12"/>
  <c r="G59" i="12" s="1"/>
  <c r="G42" i="12"/>
  <c r="G60" i="12" s="1"/>
  <c r="H43" i="12"/>
  <c r="H46" i="12" s="1"/>
  <c r="H42" i="12"/>
  <c r="H45" i="12" s="1"/>
  <c r="Z36" i="12"/>
  <c r="AB47" i="12"/>
  <c r="AB45" i="12"/>
  <c r="Y36" i="12" s="1"/>
  <c r="AB44" i="12"/>
  <c r="AB43" i="12"/>
  <c r="G67" i="13"/>
  <c r="G66" i="13"/>
  <c r="C67" i="13"/>
  <c r="C66" i="13"/>
  <c r="C65" i="13"/>
  <c r="C64" i="13"/>
  <c r="C63" i="13"/>
  <c r="C62" i="13"/>
  <c r="G65" i="13"/>
  <c r="G64" i="13"/>
  <c r="G63" i="13"/>
  <c r="G62" i="13"/>
  <c r="G61" i="13"/>
  <c r="C61" i="13"/>
  <c r="K67" i="13"/>
  <c r="P67" i="13" s="1"/>
  <c r="K66" i="13"/>
  <c r="P66" i="13" s="1"/>
  <c r="K65" i="13"/>
  <c r="P65" i="13" s="1"/>
  <c r="K64" i="13"/>
  <c r="P64" i="13" s="1"/>
  <c r="K63" i="13"/>
  <c r="P63" i="13" s="1"/>
  <c r="K62" i="13"/>
  <c r="P62" i="13" s="1"/>
  <c r="K61" i="13"/>
  <c r="P61" i="13" s="1"/>
  <c r="K60" i="13"/>
  <c r="P60" i="13" s="1"/>
  <c r="G60" i="13"/>
  <c r="C60" i="13"/>
  <c r="K59" i="13"/>
  <c r="P59" i="13" s="1"/>
  <c r="G59" i="13"/>
  <c r="C59" i="13"/>
  <c r="K58" i="13"/>
  <c r="P58" i="13" s="1"/>
  <c r="G58" i="13"/>
  <c r="C58" i="13"/>
  <c r="K57" i="13"/>
  <c r="P57" i="13" s="1"/>
  <c r="G57" i="13"/>
  <c r="C57" i="13"/>
  <c r="K56" i="13"/>
  <c r="P56" i="13" s="1"/>
  <c r="G56" i="13"/>
  <c r="C56" i="13"/>
  <c r="K55" i="13"/>
  <c r="P55" i="13" s="1"/>
  <c r="Q55" i="13" s="1"/>
  <c r="G55" i="13"/>
  <c r="C55" i="13"/>
  <c r="K54" i="13"/>
  <c r="P54" i="13" s="1"/>
  <c r="Q54" i="13" s="1"/>
  <c r="G54" i="13"/>
  <c r="C54" i="13"/>
  <c r="K53" i="13"/>
  <c r="P53" i="13" s="1"/>
  <c r="Q53" i="13" s="1"/>
  <c r="G53" i="13"/>
  <c r="C53" i="13"/>
  <c r="K52" i="13"/>
  <c r="P52" i="13" s="1"/>
  <c r="Q52" i="13" s="1"/>
  <c r="G52" i="13"/>
  <c r="C52" i="13"/>
  <c r="K51" i="13"/>
  <c r="P51" i="13" s="1"/>
  <c r="Q51" i="13" s="1"/>
  <c r="G51" i="13"/>
  <c r="C51" i="13"/>
  <c r="K50" i="13"/>
  <c r="P50" i="13" s="1"/>
  <c r="Q50" i="13" s="1"/>
  <c r="G50" i="13"/>
  <c r="C50" i="13"/>
  <c r="K49" i="13"/>
  <c r="P49" i="13" s="1"/>
  <c r="Q49" i="13" s="1"/>
  <c r="G49" i="13"/>
  <c r="C49" i="13"/>
  <c r="K48" i="13"/>
  <c r="P48" i="13" s="1"/>
  <c r="Q48" i="13" s="1"/>
  <c r="G48" i="13"/>
  <c r="C48" i="13"/>
  <c r="K47" i="13"/>
  <c r="P47" i="13" s="1"/>
  <c r="Q47" i="13" s="1"/>
  <c r="G47" i="13"/>
  <c r="C47" i="13"/>
  <c r="K46" i="13"/>
  <c r="P46" i="13" s="1"/>
  <c r="Q46" i="13" s="1"/>
  <c r="G46" i="13"/>
  <c r="C46" i="13"/>
  <c r="K45" i="13"/>
  <c r="P45" i="13" s="1"/>
  <c r="Q45" i="13" s="1"/>
  <c r="G45" i="13"/>
  <c r="C45" i="13"/>
  <c r="P44" i="13"/>
  <c r="Q44" i="13" s="1"/>
  <c r="G44" i="13"/>
  <c r="C44" i="13"/>
  <c r="P43" i="13"/>
  <c r="Q43" i="13" s="1"/>
  <c r="G43" i="13"/>
  <c r="C43" i="13"/>
  <c r="P42" i="13"/>
  <c r="Q42" i="13" s="1"/>
  <c r="G42" i="13"/>
  <c r="C42" i="13"/>
  <c r="P41" i="13"/>
  <c r="Q41" i="13" s="1"/>
  <c r="G41" i="13"/>
  <c r="C41" i="13"/>
  <c r="P40" i="13"/>
  <c r="Q40" i="13" s="1"/>
  <c r="G40" i="13"/>
  <c r="C40" i="13"/>
  <c r="C7" i="13"/>
  <c r="C5" i="13"/>
  <c r="B3" i="13"/>
  <c r="C61" i="12"/>
  <c r="C60" i="12"/>
  <c r="C59" i="12"/>
  <c r="C58" i="12"/>
  <c r="C57" i="12"/>
  <c r="C56" i="12"/>
  <c r="C55" i="12"/>
  <c r="C54" i="12"/>
  <c r="C53" i="12"/>
  <c r="H41" i="12"/>
  <c r="H44" i="12" s="1"/>
  <c r="H47" i="12" s="1"/>
  <c r="H48" i="12" s="1"/>
  <c r="H49" i="12" s="1"/>
  <c r="H50" i="12" s="1"/>
  <c r="H51" i="12" s="1"/>
  <c r="C52" i="12"/>
  <c r="L61" i="12"/>
  <c r="Q61" i="12" s="1"/>
  <c r="R61" i="12" s="1"/>
  <c r="L60" i="12"/>
  <c r="Q60" i="12" s="1"/>
  <c r="R60" i="12" s="1"/>
  <c r="L59" i="12"/>
  <c r="Q59" i="12" s="1"/>
  <c r="R59" i="12" s="1"/>
  <c r="L58" i="12"/>
  <c r="Q58" i="12" s="1"/>
  <c r="R58" i="12" s="1"/>
  <c r="L57" i="12"/>
  <c r="Q57" i="12" s="1"/>
  <c r="R57" i="12" s="1"/>
  <c r="L56" i="12"/>
  <c r="Q56" i="12" s="1"/>
  <c r="R56" i="12" s="1"/>
  <c r="L55" i="12"/>
  <c r="Q55" i="12" s="1"/>
  <c r="R55" i="12" s="1"/>
  <c r="L54" i="12"/>
  <c r="Q54" i="12" s="1"/>
  <c r="R54" i="12" s="1"/>
  <c r="L53" i="12"/>
  <c r="Q53" i="12" s="1"/>
  <c r="R53" i="12" s="1"/>
  <c r="L52" i="12"/>
  <c r="Q52" i="12" s="1"/>
  <c r="R52" i="12" s="1"/>
  <c r="C51" i="12"/>
  <c r="C50" i="12"/>
  <c r="C49" i="12"/>
  <c r="C48" i="12"/>
  <c r="C47" i="12"/>
  <c r="C46" i="12"/>
  <c r="C45" i="12"/>
  <c r="C44" i="12"/>
  <c r="C43" i="12"/>
  <c r="C42" i="12"/>
  <c r="C41" i="12"/>
  <c r="X37" i="12"/>
  <c r="G41" i="12" s="1"/>
  <c r="G44" i="12" s="1"/>
  <c r="G47" i="12" s="1"/>
  <c r="G48" i="12" s="1"/>
  <c r="G49" i="12" s="1"/>
  <c r="G50" i="12" s="1"/>
  <c r="G51" i="12" s="1"/>
  <c r="C8" i="12"/>
  <c r="C6" i="12"/>
  <c r="L51" i="12"/>
  <c r="Q51" i="12" s="1"/>
  <c r="R51" i="12" s="1"/>
  <c r="L50" i="12"/>
  <c r="Q50" i="12" s="1"/>
  <c r="R50" i="12" s="1"/>
  <c r="L49" i="12"/>
  <c r="Q49" i="12" s="1"/>
  <c r="R49" i="12" s="1"/>
  <c r="L48" i="12"/>
  <c r="Q48" i="12" s="1"/>
  <c r="R48" i="12" s="1"/>
  <c r="L47" i="12"/>
  <c r="Q47" i="12" s="1"/>
  <c r="R47" i="12" s="1"/>
  <c r="L46" i="12"/>
  <c r="Q46" i="12" s="1"/>
  <c r="R46" i="12" s="1"/>
  <c r="L45" i="12"/>
  <c r="Q45" i="12" s="1"/>
  <c r="R45" i="12" s="1"/>
  <c r="L44" i="12"/>
  <c r="Q44" i="12" s="1"/>
  <c r="R44" i="12" s="1"/>
  <c r="L43" i="12"/>
  <c r="Q43" i="12" s="1"/>
  <c r="R43" i="12" s="1"/>
  <c r="L42" i="12"/>
  <c r="Q42" i="12" s="1"/>
  <c r="R42" i="12" s="1"/>
  <c r="L41" i="12"/>
  <c r="Q41" i="12" s="1"/>
  <c r="R41" i="12" s="1"/>
  <c r="B3" i="12"/>
  <c r="C5" i="11"/>
  <c r="C7" i="11"/>
  <c r="C49" i="11"/>
  <c r="G49" i="11"/>
  <c r="H49" i="11"/>
  <c r="B3" i="11"/>
  <c r="P49" i="11"/>
  <c r="Q49" i="11" s="1"/>
  <c r="P48" i="11"/>
  <c r="Q48" i="11" s="1"/>
  <c r="P47" i="11"/>
  <c r="Q47" i="11" s="1"/>
  <c r="P46" i="11"/>
  <c r="Q46" i="11" s="1"/>
  <c r="P45" i="11"/>
  <c r="Q45" i="11" s="1"/>
  <c r="P44" i="11"/>
  <c r="Q44" i="11" s="1"/>
  <c r="P43" i="11"/>
  <c r="Q43" i="11" s="1"/>
  <c r="P42" i="11"/>
  <c r="Q42" i="11" s="1"/>
  <c r="P41" i="11"/>
  <c r="Q41" i="11" s="1"/>
  <c r="P40" i="11"/>
  <c r="Q40" i="11" s="1"/>
  <c r="H47" i="11"/>
  <c r="G47" i="11"/>
  <c r="C47" i="11"/>
  <c r="C48" i="11"/>
  <c r="H48" i="11"/>
  <c r="G48" i="11"/>
  <c r="H46" i="11"/>
  <c r="G46" i="11"/>
  <c r="C46" i="11"/>
  <c r="H45" i="11"/>
  <c r="H44" i="11"/>
  <c r="H43" i="11"/>
  <c r="H42" i="11"/>
  <c r="H41" i="11"/>
  <c r="H40" i="11"/>
  <c r="G45" i="11"/>
  <c r="G44" i="11"/>
  <c r="G43" i="11"/>
  <c r="G42" i="11"/>
  <c r="G41" i="11"/>
  <c r="G40" i="11"/>
  <c r="C45" i="11"/>
  <c r="C44" i="11"/>
  <c r="C43" i="11"/>
  <c r="C42" i="11"/>
  <c r="C41" i="11"/>
  <c r="C40" i="11"/>
  <c r="G54" i="12" l="1"/>
  <c r="G45" i="12"/>
  <c r="G52" i="12"/>
  <c r="E9" i="12"/>
  <c r="L29" i="13"/>
  <c r="B1" i="11"/>
  <c r="G39" i="12"/>
  <c r="G56" i="12"/>
  <c r="G58" i="12"/>
  <c r="G46" i="12"/>
  <c r="F30" i="12"/>
  <c r="H29" i="12"/>
  <c r="G53" i="12"/>
  <c r="G61" i="12"/>
  <c r="C17" i="13"/>
  <c r="G55" i="12"/>
  <c r="L32" i="12" s="1"/>
  <c r="B1" i="12"/>
  <c r="K27" i="13"/>
  <c r="M83" i="13" s="1"/>
  <c r="G57" i="12"/>
  <c r="H61" i="12"/>
  <c r="H59" i="12"/>
  <c r="H57" i="12"/>
  <c r="H55" i="12"/>
  <c r="L33" i="12" s="1"/>
  <c r="H53" i="12"/>
  <c r="H52" i="12"/>
  <c r="H54" i="12"/>
  <c r="H56" i="12"/>
  <c r="H58" i="12"/>
  <c r="H60" i="12"/>
  <c r="A1" i="13"/>
  <c r="F28" i="13"/>
  <c r="J34" i="13"/>
  <c r="F29" i="13"/>
  <c r="F30" i="13"/>
  <c r="J35" i="12"/>
  <c r="F31" i="12"/>
  <c r="C18" i="12"/>
  <c r="F28" i="11"/>
  <c r="F29" i="11"/>
  <c r="C17" i="11"/>
  <c r="J34" i="11"/>
  <c r="G61" i="11" s="1"/>
  <c r="K27" i="11"/>
  <c r="L27" i="11"/>
  <c r="L29" i="11"/>
  <c r="G63" i="11" s="1"/>
  <c r="F30" i="11"/>
  <c r="G60" i="11" s="1"/>
  <c r="K28" i="12" l="1"/>
  <c r="O83" i="13"/>
  <c r="N83" i="13"/>
  <c r="H56" i="11"/>
  <c r="H54" i="11" s="1"/>
  <c r="L79" i="12"/>
  <c r="L76" i="12"/>
  <c r="K76" i="12"/>
  <c r="K79" i="12"/>
  <c r="M76" i="12"/>
  <c r="P76" i="12" s="1"/>
  <c r="M77" i="12"/>
  <c r="M81" i="12"/>
  <c r="M71" i="12"/>
  <c r="M69" i="12"/>
  <c r="M78" i="12"/>
  <c r="M70" i="12"/>
  <c r="M79" i="12"/>
  <c r="P79" i="12" s="1"/>
  <c r="O78" i="12"/>
  <c r="O81" i="12"/>
  <c r="O77" i="12"/>
  <c r="O70" i="12"/>
  <c r="O69" i="12"/>
  <c r="O71" i="12"/>
  <c r="O76" i="12"/>
  <c r="O79" i="12"/>
  <c r="G32" i="12"/>
  <c r="C7" i="12" s="1"/>
  <c r="H73" i="13"/>
  <c r="H75" i="13" s="1"/>
  <c r="X88" i="13" s="1"/>
  <c r="I56" i="11"/>
  <c r="X70" i="11" s="1"/>
  <c r="Y70" i="11" s="1"/>
  <c r="N80" i="13"/>
  <c r="K78" i="13"/>
  <c r="N71" i="13"/>
  <c r="N73" i="13"/>
  <c r="N79" i="13"/>
  <c r="N81" i="13"/>
  <c r="N78" i="13"/>
  <c r="K81" i="13"/>
  <c r="N72" i="13"/>
  <c r="X89" i="13"/>
  <c r="Y89" i="13" s="1"/>
  <c r="I75" i="13"/>
  <c r="I73" i="13" s="1"/>
  <c r="L78" i="13"/>
  <c r="L81" i="13"/>
  <c r="M72" i="13"/>
  <c r="M78" i="13"/>
  <c r="P78" i="13" s="1"/>
  <c r="M71" i="13"/>
  <c r="M73" i="13"/>
  <c r="M81" i="13"/>
  <c r="P81" i="13" s="1"/>
  <c r="M79" i="13"/>
  <c r="M80" i="13"/>
  <c r="O80" i="13"/>
  <c r="O71" i="13"/>
  <c r="O73" i="13"/>
  <c r="O81" i="13"/>
  <c r="O79" i="13"/>
  <c r="O72" i="13"/>
  <c r="O78" i="13"/>
  <c r="G31" i="13"/>
  <c r="H31" i="13" s="1"/>
  <c r="R34" i="13"/>
  <c r="N5" i="13" s="1"/>
  <c r="L90" i="11"/>
  <c r="L87" i="11"/>
  <c r="L83" i="11"/>
  <c r="L60" i="11"/>
  <c r="L78" i="11"/>
  <c r="L77" i="11"/>
  <c r="L76" i="11"/>
  <c r="L59" i="11"/>
  <c r="L66" i="11"/>
  <c r="L82" i="11"/>
  <c r="L81" i="11"/>
  <c r="L69" i="11"/>
  <c r="L71" i="11"/>
  <c r="L70" i="11"/>
  <c r="L63" i="11"/>
  <c r="L74" i="11"/>
  <c r="L62" i="11"/>
  <c r="L64" i="11"/>
  <c r="L79" i="11"/>
  <c r="L72" i="11"/>
  <c r="L80" i="11"/>
  <c r="L73" i="11"/>
  <c r="L61" i="11"/>
  <c r="L75" i="11"/>
  <c r="L68" i="11"/>
  <c r="L84" i="11"/>
  <c r="L67" i="11"/>
  <c r="L65" i="11"/>
  <c r="R34" i="11"/>
  <c r="M27" i="11"/>
  <c r="G62" i="11" s="1"/>
  <c r="O87" i="11" s="1"/>
  <c r="G31" i="11"/>
  <c r="H31" i="11" s="1"/>
  <c r="H32" i="11" s="1"/>
  <c r="G32" i="11" s="1"/>
  <c r="Q35" i="11" s="1"/>
  <c r="K6" i="11" s="1"/>
  <c r="G59" i="11"/>
  <c r="L31" i="12"/>
  <c r="P28" i="12" s="1"/>
  <c r="I81" i="12" s="1"/>
  <c r="R35" i="12"/>
  <c r="N6" i="12" s="1"/>
  <c r="R33" i="12"/>
  <c r="K27" i="12"/>
  <c r="R37" i="12"/>
  <c r="N8" i="12" s="1"/>
  <c r="Q37" i="12"/>
  <c r="K8" i="12" s="1"/>
  <c r="G29" i="12"/>
  <c r="C3" i="13"/>
  <c r="Q36" i="13"/>
  <c r="K7" i="13" s="1"/>
  <c r="Q34" i="13"/>
  <c r="K5" i="13" s="1"/>
  <c r="S36" i="13"/>
  <c r="S34" i="13"/>
  <c r="R36" i="13"/>
  <c r="N7" i="13" s="1"/>
  <c r="P31" i="13"/>
  <c r="S34" i="11"/>
  <c r="I3" i="11"/>
  <c r="P31" i="11"/>
  <c r="N31" i="11" s="1"/>
  <c r="F29" i="12"/>
  <c r="Q34" i="11"/>
  <c r="K5" i="11" s="1"/>
  <c r="Q36" i="11"/>
  <c r="K7" i="11" s="1"/>
  <c r="Q31" i="11"/>
  <c r="S31" i="11" s="1"/>
  <c r="S36" i="11"/>
  <c r="R36" i="11"/>
  <c r="R81" i="13" l="1"/>
  <c r="Q78" i="13"/>
  <c r="I54" i="11"/>
  <c r="L54" i="11" s="1"/>
  <c r="N77" i="12"/>
  <c r="N69" i="12"/>
  <c r="N81" i="12"/>
  <c r="N70" i="12"/>
  <c r="N71" i="12"/>
  <c r="N78" i="12"/>
  <c r="N79" i="12"/>
  <c r="Q79" i="12" s="1"/>
  <c r="N76" i="12"/>
  <c r="Q76" i="12" s="1"/>
  <c r="R76" i="12"/>
  <c r="P74" i="12"/>
  <c r="M74" i="12"/>
  <c r="R79" i="12"/>
  <c r="N28" i="12"/>
  <c r="L81" i="12"/>
  <c r="R81" i="12" s="1"/>
  <c r="J81" i="12"/>
  <c r="K81" i="12"/>
  <c r="R28" i="12"/>
  <c r="H32" i="12"/>
  <c r="R36" i="12" s="1"/>
  <c r="N7" i="12" s="1"/>
  <c r="I73" i="12"/>
  <c r="I71" i="12"/>
  <c r="Q36" i="12"/>
  <c r="Q81" i="13"/>
  <c r="L73" i="13"/>
  <c r="R73" i="13" s="1"/>
  <c r="K73" i="13"/>
  <c r="Q73" i="13" s="1"/>
  <c r="J73" i="13"/>
  <c r="P73" i="13" s="1"/>
  <c r="C6" i="13"/>
  <c r="R78" i="13"/>
  <c r="R87" i="11"/>
  <c r="O90" i="11"/>
  <c r="R90" i="11" s="1"/>
  <c r="K90" i="11"/>
  <c r="N88" i="11"/>
  <c r="N89" i="11"/>
  <c r="K87" i="11"/>
  <c r="N90" i="11"/>
  <c r="N87" i="11"/>
  <c r="O53" i="11"/>
  <c r="M87" i="11"/>
  <c r="P87" i="11" s="1"/>
  <c r="M90" i="11"/>
  <c r="P90" i="11" s="1"/>
  <c r="M88" i="11"/>
  <c r="M89" i="11"/>
  <c r="O89" i="11"/>
  <c r="O88" i="11"/>
  <c r="O52" i="11"/>
  <c r="O54" i="11"/>
  <c r="M53" i="11"/>
  <c r="M52" i="11"/>
  <c r="N53" i="11"/>
  <c r="N52" i="11"/>
  <c r="O84" i="11"/>
  <c r="R84" i="11" s="1"/>
  <c r="M54" i="11"/>
  <c r="N54" i="11"/>
  <c r="O60" i="11"/>
  <c r="R60" i="11" s="1"/>
  <c r="O81" i="11"/>
  <c r="R81" i="11" s="1"/>
  <c r="O67" i="11"/>
  <c r="R67" i="11" s="1"/>
  <c r="N5" i="11"/>
  <c r="O69" i="11"/>
  <c r="R69" i="11" s="1"/>
  <c r="O79" i="11"/>
  <c r="R79" i="11" s="1"/>
  <c r="O61" i="11"/>
  <c r="R61" i="11" s="1"/>
  <c r="O59" i="11"/>
  <c r="R59" i="11" s="1"/>
  <c r="O73" i="11"/>
  <c r="R73" i="11" s="1"/>
  <c r="O72" i="11"/>
  <c r="R72" i="11" s="1"/>
  <c r="M76" i="11"/>
  <c r="P76" i="11" s="1"/>
  <c r="M65" i="11"/>
  <c r="P65" i="11" s="1"/>
  <c r="M81" i="11"/>
  <c r="P81" i="11" s="1"/>
  <c r="M69" i="11"/>
  <c r="P69" i="11" s="1"/>
  <c r="M80" i="11"/>
  <c r="P80" i="11" s="1"/>
  <c r="M67" i="11"/>
  <c r="P67" i="11" s="1"/>
  <c r="M62" i="11"/>
  <c r="P62" i="11" s="1"/>
  <c r="M68" i="11"/>
  <c r="P68" i="11" s="1"/>
  <c r="M72" i="11"/>
  <c r="P72" i="11" s="1"/>
  <c r="M74" i="11"/>
  <c r="P74" i="11" s="1"/>
  <c r="M78" i="11"/>
  <c r="P78" i="11" s="1"/>
  <c r="M71" i="11"/>
  <c r="P71" i="11" s="1"/>
  <c r="M64" i="11"/>
  <c r="P64" i="11" s="1"/>
  <c r="M63" i="11"/>
  <c r="P63" i="11" s="1"/>
  <c r="M73" i="11"/>
  <c r="P73" i="11" s="1"/>
  <c r="M59" i="11"/>
  <c r="M82" i="11"/>
  <c r="P82" i="11" s="1"/>
  <c r="M83" i="11"/>
  <c r="P83" i="11" s="1"/>
  <c r="M66" i="11"/>
  <c r="P66" i="11" s="1"/>
  <c r="M75" i="11"/>
  <c r="P75" i="11" s="1"/>
  <c r="M70" i="11"/>
  <c r="P70" i="11" s="1"/>
  <c r="M84" i="11"/>
  <c r="P84" i="11" s="1"/>
  <c r="M61" i="11"/>
  <c r="P61" i="11" s="1"/>
  <c r="M77" i="11"/>
  <c r="P77" i="11" s="1"/>
  <c r="M79" i="11"/>
  <c r="P79" i="11" s="1"/>
  <c r="M60" i="11"/>
  <c r="P60" i="11" s="1"/>
  <c r="O66" i="11"/>
  <c r="R66" i="11" s="1"/>
  <c r="O74" i="11"/>
  <c r="R74" i="11" s="1"/>
  <c r="O64" i="11"/>
  <c r="R64" i="11" s="1"/>
  <c r="O63" i="11"/>
  <c r="R63" i="11" s="1"/>
  <c r="O70" i="11"/>
  <c r="R70" i="11" s="1"/>
  <c r="O76" i="11"/>
  <c r="R76" i="11" s="1"/>
  <c r="O71" i="11"/>
  <c r="R71" i="11" s="1"/>
  <c r="K81" i="11"/>
  <c r="K74" i="11"/>
  <c r="N69" i="11"/>
  <c r="K67" i="11"/>
  <c r="N59" i="11"/>
  <c r="K66" i="11"/>
  <c r="N72" i="11"/>
  <c r="K72" i="11"/>
  <c r="K83" i="11"/>
  <c r="N62" i="11"/>
  <c r="K60" i="11"/>
  <c r="N73" i="11"/>
  <c r="N75" i="11"/>
  <c r="N78" i="11"/>
  <c r="K76" i="11"/>
  <c r="N71" i="11"/>
  <c r="N64" i="11"/>
  <c r="K62" i="11"/>
  <c r="N68" i="11"/>
  <c r="N84" i="11"/>
  <c r="N80" i="11"/>
  <c r="K69" i="11"/>
  <c r="N79" i="11"/>
  <c r="N67" i="11"/>
  <c r="K65" i="11"/>
  <c r="K73" i="11"/>
  <c r="N65" i="11"/>
  <c r="K78" i="11"/>
  <c r="K71" i="11"/>
  <c r="N66" i="11"/>
  <c r="K64" i="11"/>
  <c r="K59" i="11"/>
  <c r="K84" i="11"/>
  <c r="N81" i="11"/>
  <c r="N60" i="11"/>
  <c r="N82" i="11"/>
  <c r="K80" i="11"/>
  <c r="N61" i="11"/>
  <c r="N74" i="11"/>
  <c r="K82" i="11"/>
  <c r="N77" i="11"/>
  <c r="K75" i="11"/>
  <c r="N70" i="11"/>
  <c r="K61" i="11"/>
  <c r="K63" i="11"/>
  <c r="N76" i="11"/>
  <c r="K68" i="11"/>
  <c r="N63" i="11"/>
  <c r="K77" i="11"/>
  <c r="K70" i="11"/>
  <c r="N83" i="11"/>
  <c r="K79" i="11"/>
  <c r="O80" i="11"/>
  <c r="R80" i="11" s="1"/>
  <c r="O83" i="11"/>
  <c r="R83" i="11" s="1"/>
  <c r="C6" i="11"/>
  <c r="O68" i="11"/>
  <c r="R68" i="11" s="1"/>
  <c r="O78" i="11"/>
  <c r="R78" i="11" s="1"/>
  <c r="O65" i="11"/>
  <c r="R65" i="11" s="1"/>
  <c r="O75" i="11"/>
  <c r="R75" i="11" s="1"/>
  <c r="O77" i="11"/>
  <c r="R77" i="11" s="1"/>
  <c r="O82" i="11"/>
  <c r="R82" i="11" s="1"/>
  <c r="O62" i="11"/>
  <c r="R62" i="11" s="1"/>
  <c r="Q35" i="12"/>
  <c r="K6" i="12" s="1"/>
  <c r="C3" i="12"/>
  <c r="N7" i="11"/>
  <c r="R31" i="13"/>
  <c r="P27" i="13"/>
  <c r="N31" i="13"/>
  <c r="R35" i="13"/>
  <c r="N6" i="13" s="1"/>
  <c r="S35" i="13"/>
  <c r="H32" i="13"/>
  <c r="G32" i="13" s="1"/>
  <c r="Q35" i="13" s="1"/>
  <c r="K6" i="13" s="1"/>
  <c r="R31" i="11"/>
  <c r="C12" i="11" s="1"/>
  <c r="S35" i="11"/>
  <c r="R35" i="11"/>
  <c r="P27" i="11"/>
  <c r="O31" i="11"/>
  <c r="N27" i="11" s="1"/>
  <c r="I77" i="12" l="1"/>
  <c r="J77" i="12" s="1"/>
  <c r="P77" i="12" s="1"/>
  <c r="I78" i="12"/>
  <c r="T73" i="13"/>
  <c r="T69" i="13" s="1"/>
  <c r="T38" i="13" s="1"/>
  <c r="T79" i="12"/>
  <c r="S73" i="13"/>
  <c r="S69" i="13" s="1"/>
  <c r="S38" i="13" s="1"/>
  <c r="S81" i="13"/>
  <c r="U73" i="13"/>
  <c r="U69" i="13" s="1"/>
  <c r="U38" i="13" s="1"/>
  <c r="E8" i="13"/>
  <c r="I83" i="13"/>
  <c r="J54" i="11"/>
  <c r="P54" i="11" s="1"/>
  <c r="K54" i="11"/>
  <c r="Q54" i="11" s="1"/>
  <c r="X87" i="12"/>
  <c r="Y87" i="12" s="1"/>
  <c r="H71" i="12"/>
  <c r="H73" i="12" s="1"/>
  <c r="X86" i="12" s="1"/>
  <c r="S79" i="12"/>
  <c r="Q81" i="12"/>
  <c r="I69" i="12"/>
  <c r="G69" i="12" s="1"/>
  <c r="X74" i="12" s="1"/>
  <c r="P81" i="12"/>
  <c r="P83" i="12" s="1"/>
  <c r="U79" i="12"/>
  <c r="J71" i="12"/>
  <c r="P71" i="12" s="1"/>
  <c r="K71" i="12"/>
  <c r="Q71" i="12" s="1"/>
  <c r="L71" i="12"/>
  <c r="R71" i="12" s="1"/>
  <c r="S74" i="12"/>
  <c r="S66" i="12" s="1"/>
  <c r="P66" i="12"/>
  <c r="C11" i="12"/>
  <c r="H33" i="12"/>
  <c r="G33" i="12" s="1"/>
  <c r="C13" i="12"/>
  <c r="I70" i="12"/>
  <c r="G70" i="12" s="1"/>
  <c r="X80" i="12" s="1"/>
  <c r="T76" i="12"/>
  <c r="I52" i="11"/>
  <c r="G52" i="11" s="1"/>
  <c r="Y90" i="13"/>
  <c r="T81" i="13"/>
  <c r="U81" i="13"/>
  <c r="T78" i="13"/>
  <c r="S78" i="13"/>
  <c r="U78" i="13"/>
  <c r="Q87" i="11"/>
  <c r="T87" i="11" s="1"/>
  <c r="Q90" i="11"/>
  <c r="T90" i="11" s="1"/>
  <c r="R54" i="11"/>
  <c r="Q65" i="11"/>
  <c r="T65" i="11" s="1"/>
  <c r="Q76" i="11"/>
  <c r="T76" i="11" s="1"/>
  <c r="Q60" i="11"/>
  <c r="T60" i="11" s="1"/>
  <c r="Q84" i="11"/>
  <c r="T84" i="11" s="1"/>
  <c r="Q67" i="11"/>
  <c r="T67" i="11" s="1"/>
  <c r="Q74" i="11"/>
  <c r="T74" i="11" s="1"/>
  <c r="Q69" i="11"/>
  <c r="T69" i="11" s="1"/>
  <c r="Q82" i="11"/>
  <c r="T82" i="11" s="1"/>
  <c r="Q72" i="11"/>
  <c r="T72" i="11" s="1"/>
  <c r="Q80" i="11"/>
  <c r="T80" i="11" s="1"/>
  <c r="Q78" i="11"/>
  <c r="T78" i="11" s="1"/>
  <c r="Q75" i="11"/>
  <c r="T75" i="11" s="1"/>
  <c r="Q71" i="11"/>
  <c r="T71" i="11" s="1"/>
  <c r="Q59" i="11"/>
  <c r="Q64" i="11"/>
  <c r="T64" i="11" s="1"/>
  <c r="Q63" i="11"/>
  <c r="T63" i="11" s="1"/>
  <c r="Q73" i="11"/>
  <c r="T73" i="11" s="1"/>
  <c r="Q66" i="11"/>
  <c r="T66" i="11" s="1"/>
  <c r="Q79" i="11"/>
  <c r="T79" i="11" s="1"/>
  <c r="Q83" i="11"/>
  <c r="T83" i="11" s="1"/>
  <c r="Q68" i="11"/>
  <c r="T68" i="11" s="1"/>
  <c r="Q77" i="11"/>
  <c r="T77" i="11" s="1"/>
  <c r="Q61" i="11"/>
  <c r="T61" i="11" s="1"/>
  <c r="P59" i="11"/>
  <c r="Q70" i="11"/>
  <c r="T70" i="11" s="1"/>
  <c r="Q81" i="11"/>
  <c r="T81" i="11" s="1"/>
  <c r="Q62" i="11"/>
  <c r="T62" i="11" s="1"/>
  <c r="R27" i="11"/>
  <c r="I53" i="11" s="1"/>
  <c r="G53" i="11" s="1"/>
  <c r="K7" i="12"/>
  <c r="C15" i="12"/>
  <c r="N6" i="11"/>
  <c r="C10" i="13"/>
  <c r="N27" i="13"/>
  <c r="C11" i="13"/>
  <c r="R27" i="13"/>
  <c r="I72" i="13" s="1"/>
  <c r="C12" i="13"/>
  <c r="C12" i="12"/>
  <c r="C10" i="11"/>
  <c r="C11" i="11"/>
  <c r="W38" i="13" l="1"/>
  <c r="P13" i="13" s="1"/>
  <c r="T71" i="12"/>
  <c r="T67" i="12" s="1"/>
  <c r="T65" i="12" s="1"/>
  <c r="U71" i="12"/>
  <c r="U67" i="12" s="1"/>
  <c r="U65" i="12" s="1"/>
  <c r="S71" i="12"/>
  <c r="S67" i="12" s="1"/>
  <c r="S65" i="12" s="1"/>
  <c r="L83" i="13"/>
  <c r="R83" i="13" s="1"/>
  <c r="J83" i="13"/>
  <c r="P83" i="13" s="1"/>
  <c r="K83" i="13"/>
  <c r="Q83" i="13" s="1"/>
  <c r="J52" i="11"/>
  <c r="P52" i="11" s="1"/>
  <c r="Y59" i="11" s="1"/>
  <c r="K52" i="11"/>
  <c r="Q52" i="11" s="1"/>
  <c r="U81" i="12"/>
  <c r="L77" i="12"/>
  <c r="R77" i="12" s="1"/>
  <c r="K77" i="12"/>
  <c r="Q77" i="12" s="1"/>
  <c r="Y88" i="12"/>
  <c r="S81" i="12"/>
  <c r="J69" i="12"/>
  <c r="P69" i="12" s="1"/>
  <c r="Y75" i="12"/>
  <c r="X75" i="12"/>
  <c r="L69" i="12"/>
  <c r="R69" i="12" s="1"/>
  <c r="K69" i="12"/>
  <c r="Q69" i="12" s="1"/>
  <c r="T81" i="12"/>
  <c r="J70" i="12"/>
  <c r="P70" i="12" s="1"/>
  <c r="L70" i="12"/>
  <c r="R70" i="12" s="1"/>
  <c r="K70" i="12"/>
  <c r="Q70" i="12" s="1"/>
  <c r="Y82" i="12" s="1"/>
  <c r="X81" i="12"/>
  <c r="Y81" i="12"/>
  <c r="U76" i="12"/>
  <c r="S76" i="12"/>
  <c r="I71" i="13"/>
  <c r="K71" i="13" s="1"/>
  <c r="Q71" i="13" s="1"/>
  <c r="X58" i="11"/>
  <c r="I88" i="11" s="1"/>
  <c r="J88" i="11" s="1"/>
  <c r="P88" i="11" s="1"/>
  <c r="L52" i="11"/>
  <c r="R52" i="11" s="1"/>
  <c r="Y58" i="11"/>
  <c r="L72" i="13"/>
  <c r="R72" i="13" s="1"/>
  <c r="K72" i="13"/>
  <c r="Q72" i="13" s="1"/>
  <c r="G72" i="13"/>
  <c r="J72" i="13"/>
  <c r="P72" i="13" s="1"/>
  <c r="X83" i="13"/>
  <c r="I80" i="13" s="1"/>
  <c r="Y83" i="13"/>
  <c r="U87" i="11"/>
  <c r="U90" i="11"/>
  <c r="S87" i="11"/>
  <c r="S90" i="11"/>
  <c r="T54" i="11"/>
  <c r="T50" i="11" s="1"/>
  <c r="T49" i="11" s="1"/>
  <c r="S54" i="11"/>
  <c r="S50" i="11" s="1"/>
  <c r="S49" i="11" s="1"/>
  <c r="U54" i="11"/>
  <c r="U50" i="11" s="1"/>
  <c r="U49" i="11" s="1"/>
  <c r="T59" i="11"/>
  <c r="U69" i="11"/>
  <c r="S69" i="11"/>
  <c r="S72" i="11"/>
  <c r="U61" i="11"/>
  <c r="U70" i="11"/>
  <c r="S70" i="11"/>
  <c r="S82" i="11"/>
  <c r="U62" i="11"/>
  <c r="S61" i="11"/>
  <c r="U59" i="11"/>
  <c r="U71" i="11"/>
  <c r="U72" i="11"/>
  <c r="U80" i="11"/>
  <c r="U76" i="11"/>
  <c r="S78" i="11"/>
  <c r="U65" i="11"/>
  <c r="U75" i="11"/>
  <c r="S65" i="11"/>
  <c r="U78" i="11"/>
  <c r="U81" i="11"/>
  <c r="S81" i="11"/>
  <c r="S71" i="11"/>
  <c r="S84" i="11"/>
  <c r="U67" i="11"/>
  <c r="U74" i="11"/>
  <c r="U79" i="11"/>
  <c r="S68" i="11"/>
  <c r="U84" i="11"/>
  <c r="U60" i="11"/>
  <c r="S83" i="11"/>
  <c r="S76" i="11"/>
  <c r="S66" i="11"/>
  <c r="S64" i="11"/>
  <c r="S62" i="11"/>
  <c r="S63" i="11"/>
  <c r="U63" i="11"/>
  <c r="S77" i="11"/>
  <c r="S79" i="11"/>
  <c r="S74" i="11"/>
  <c r="S75" i="11"/>
  <c r="S80" i="11"/>
  <c r="U64" i="11"/>
  <c r="S60" i="11"/>
  <c r="S67" i="11"/>
  <c r="S59" i="11"/>
  <c r="U77" i="11"/>
  <c r="U73" i="11"/>
  <c r="U68" i="11"/>
  <c r="U66" i="11"/>
  <c r="U82" i="11"/>
  <c r="S73" i="11"/>
  <c r="U83" i="11"/>
  <c r="Y71" i="11"/>
  <c r="L53" i="11"/>
  <c r="R53" i="11" s="1"/>
  <c r="Y64" i="11"/>
  <c r="K53" i="11"/>
  <c r="Q53" i="11" s="1"/>
  <c r="X64" i="11"/>
  <c r="I89" i="11" s="1"/>
  <c r="J53" i="11"/>
  <c r="P53" i="11" s="1"/>
  <c r="C14" i="11"/>
  <c r="C14" i="13"/>
  <c r="W65" i="12" l="1"/>
  <c r="P14" i="12" s="1"/>
  <c r="W49" i="11"/>
  <c r="P13" i="11" s="1"/>
  <c r="T83" i="13"/>
  <c r="S83" i="13"/>
  <c r="U83" i="13"/>
  <c r="T52" i="11"/>
  <c r="U52" i="11"/>
  <c r="S52" i="11"/>
  <c r="L88" i="11"/>
  <c r="R88" i="11" s="1"/>
  <c r="K88" i="11"/>
  <c r="Q88" i="11" s="1"/>
  <c r="S77" i="12"/>
  <c r="T77" i="12"/>
  <c r="U77" i="12"/>
  <c r="T69" i="12"/>
  <c r="Y76" i="12"/>
  <c r="U69" i="12"/>
  <c r="S69" i="12"/>
  <c r="S70" i="12"/>
  <c r="L78" i="12"/>
  <c r="R78" i="12" s="1"/>
  <c r="K78" i="12"/>
  <c r="Q78" i="12" s="1"/>
  <c r="J78" i="12"/>
  <c r="P78" i="12" s="1"/>
  <c r="T70" i="12"/>
  <c r="U70" i="12"/>
  <c r="Y68" i="12"/>
  <c r="X68" i="12"/>
  <c r="L71" i="13"/>
  <c r="R71" i="13" s="1"/>
  <c r="X77" i="13"/>
  <c r="I79" i="13" s="1"/>
  <c r="Y70" i="13" s="1"/>
  <c r="G71" i="13"/>
  <c r="J71" i="13"/>
  <c r="P71" i="13" s="1"/>
  <c r="Y78" i="13" s="1"/>
  <c r="Y77" i="13"/>
  <c r="S72" i="13"/>
  <c r="L80" i="13"/>
  <c r="R80" i="13" s="1"/>
  <c r="K80" i="13"/>
  <c r="Q80" i="13" s="1"/>
  <c r="J80" i="13"/>
  <c r="P80" i="13" s="1"/>
  <c r="T72" i="13"/>
  <c r="U72" i="13"/>
  <c r="Y84" i="13"/>
  <c r="L89" i="11"/>
  <c r="R89" i="11" s="1"/>
  <c r="K89" i="11"/>
  <c r="Q89" i="11" s="1"/>
  <c r="J89" i="11"/>
  <c r="P89" i="11" s="1"/>
  <c r="S53" i="11"/>
  <c r="T53" i="11"/>
  <c r="Y65" i="11"/>
  <c r="W87" i="11" s="1"/>
  <c r="U53" i="11"/>
  <c r="S80" i="13" l="1"/>
  <c r="U71" i="13"/>
  <c r="X70" i="13"/>
  <c r="J79" i="13"/>
  <c r="P79" i="13" s="1"/>
  <c r="L79" i="13"/>
  <c r="R79" i="13" s="1"/>
  <c r="S71" i="13"/>
  <c r="T71" i="13"/>
  <c r="K79" i="13"/>
  <c r="Q79" i="13" s="1"/>
  <c r="S88" i="11"/>
  <c r="U88" i="11"/>
  <c r="T88" i="11"/>
  <c r="T78" i="12"/>
  <c r="S78" i="12"/>
  <c r="U78" i="12"/>
  <c r="U80" i="13"/>
  <c r="T80" i="13"/>
  <c r="T89" i="11"/>
  <c r="U89" i="11"/>
  <c r="S89" i="11"/>
  <c r="T79" i="13" l="1"/>
  <c r="S79" i="13"/>
  <c r="U79" i="13"/>
</calcChain>
</file>

<file path=xl/sharedStrings.xml><?xml version="1.0" encoding="utf-8"?>
<sst xmlns="http://schemas.openxmlformats.org/spreadsheetml/2006/main" count="1369" uniqueCount="479">
  <si>
    <t>Thrombophilia Guidelines Calculator Tutorial</t>
  </si>
  <si>
    <t>Introduction</t>
  </si>
  <si>
    <r>
      <t>American Society of Hematology has developed evidence-based guidelines for management of venous thromboembolism: thrombophilia testing [</t>
    </r>
    <r>
      <rPr>
        <sz val="11"/>
        <color rgb="FF0070C0"/>
        <rFont val="Aptos Narrow"/>
        <family val="2"/>
        <scheme val="minor"/>
      </rPr>
      <t>American Society of Hematology 2023 guidelines for management of venous thromboembolism: thrombophilia testing [American Society of Hematology 2023 guidelines for management of venous thromboembolism: thrombophilia testing | Blood Advances | American Society of Hematology (ashpublications.org)</t>
    </r>
    <r>
      <rPr>
        <sz val="11"/>
        <color theme="1"/>
        <rFont val="Aptos Narrow"/>
        <family val="2"/>
        <scheme val="minor"/>
      </rPr>
      <t xml:space="preserve">].  The panel developed 23 recommendations for seven different clinical settings, which, after taking the subgroups into account, amounted to 69 different management recommendations. </t>
    </r>
  </si>
  <si>
    <t>Unfortunately, even the best evidence-based guidelines currently suffer from the "black-box" and "integration" problems, making it unclear how the panel weighed the trade-offs between</t>
  </si>
  <si>
    <t xml:space="preserve">the benefits and harms of treatment, testing, and patients' values and preferences (V&amp;P) related to the consequences of disease (such as experiencing VTE) vs. adverse events of </t>
  </si>
  <si>
    <t xml:space="preserve">treatment (e.g., major bleeding rates). The solution to the "black-box"  and the "integration" problems is only possible through the explicit formulation of decision ingredients within a </t>
  </si>
  <si>
    <t xml:space="preserve">decision-analytical framework. The paper Djulbegovic B, Hozo I, Guyatt G. Decision Theoretical Foundations of Clinical Practice Guidelines: An Extension of the ASH Thrombophilia </t>
  </si>
  <si>
    <t xml:space="preserve">Guidelines. Blood Advances 2024; </t>
  </si>
  <si>
    <t>]  describes methodological details of how evidence collected and summarized by the ASH</t>
  </si>
  <si>
    <t xml:space="preserve">thrombophilia panel can be re-analyzed from a decision-analytic perspective. Indeed, when we applied decision theory to ASH thrombophilia guidelines, we found that </t>
  </si>
  <si>
    <t xml:space="preserve">recommendations based on the threshold decision-analytic model disagree with ASH panel recommendations in over 50% of cases (see tab "Agreement"). However, intuitive </t>
  </si>
  <si>
    <t xml:space="preserve">judgments should not be easily dismissed, particularly when leading experts in the field make them. Indeed, when two types of judgments – explicit vs. intuitive -disagree, every </t>
  </si>
  <si>
    <t xml:space="preserve">effort should be made to reconcile them. The first step in this process is to provide, side-by-side, both types of judgments – intuitive and explicit- along with supporting evidence </t>
  </si>
  <si>
    <t xml:space="preserve">informing these judgments. </t>
  </si>
  <si>
    <r>
      <t xml:space="preserve">To this end, we developed a calculator to provide both </t>
    </r>
    <r>
      <rPr>
        <b/>
        <sz val="11"/>
        <color theme="1"/>
        <rFont val="Aptos Narrow"/>
        <family val="2"/>
        <scheme val="minor"/>
      </rPr>
      <t>decision-analytic,</t>
    </r>
    <r>
      <rPr>
        <sz val="11"/>
        <color theme="1"/>
        <rFont val="Aptos Narrow"/>
        <family val="2"/>
        <scheme val="minor"/>
      </rPr>
      <t xml:space="preserve"> </t>
    </r>
    <r>
      <rPr>
        <b/>
        <sz val="11"/>
        <color theme="1"/>
        <rFont val="Aptos Narrow"/>
        <family val="2"/>
        <scheme val="minor"/>
      </rPr>
      <t>explicit</t>
    </r>
    <r>
      <rPr>
        <sz val="11"/>
        <color theme="1"/>
        <rFont val="Aptos Narrow"/>
        <family val="2"/>
        <scheme val="minor"/>
      </rPr>
      <t xml:space="preserve">, and </t>
    </r>
    <r>
      <rPr>
        <b/>
        <sz val="11"/>
        <color theme="1"/>
        <rFont val="Aptos Narrow"/>
        <family val="2"/>
        <scheme val="minor"/>
      </rPr>
      <t>intuitive ASH panel recommendations</t>
    </r>
    <r>
      <rPr>
        <sz val="11"/>
        <color theme="1"/>
        <rFont val="Aptos Narrow"/>
        <family val="2"/>
        <scheme val="minor"/>
      </rPr>
      <t xml:space="preserve"> for all 69 thrombophilia management recommendations. </t>
    </r>
  </si>
  <si>
    <t xml:space="preserve">The output of calculations includes a) display of the number of VTE and major bleeding events, i.e., evidence supporting each decision/recommendation, b) recommendation for action </t>
  </si>
  <si>
    <t xml:space="preserve">(don't test and don't treat vs. test and act accordingly vs. don't test and treat) per ASH guidelines and decision-theoretical model, c) input for RV (relative values) that captures </t>
  </si>
  <si>
    <t xml:space="preserve">patient's V&amp;P. The latter allows a user to assess the sensitivity of a decision as a function of the patient's V&amp;P. Note that when RV&lt;1, the patient values avoiding outcomes of VTE more </t>
  </si>
  <si>
    <t xml:space="preserve">than avoiding harms of bleeding; if RV&gt;1, the patient places more importance on avoiding the harms of treatment than on the consequences of the disease; when the patient is </t>
  </si>
  <si>
    <t xml:space="preserve">indifferent between treatment harms and the consequences of the disease outcome, RV =1. When RV=1, the thresholds are solely determined by empirical evidence. [Note that in the </t>
  </si>
  <si>
    <t xml:space="preserve">case of using contraceptives and hormone replacement therapy, RV&gt;1 refers not to bleeding events but to unwanted pregnancies and hot flushes, respectively. In addition, a decision </t>
  </si>
  <si>
    <t xml:space="preserve">tree for using anticoagulant as treatment vs. a decision tree for using COC as a "treatment" is mirror pictures of each other]. The user can also select "low" vs "high" bleeding risk for </t>
  </si>
  <si>
    <r>
      <t xml:space="preserve">many recommendations. Finally, we present output </t>
    </r>
    <r>
      <rPr>
        <b/>
        <sz val="11"/>
        <color theme="1"/>
        <rFont val="Aptos Narrow"/>
        <family val="2"/>
        <scheme val="minor"/>
      </rPr>
      <t>graphically</t>
    </r>
    <r>
      <rPr>
        <sz val="11"/>
        <color theme="1"/>
        <rFont val="Aptos Narrow"/>
        <family val="2"/>
        <scheme val="minor"/>
      </rPr>
      <t xml:space="preserve">. The first graph shows the results of our main analyses that are based on </t>
    </r>
    <r>
      <rPr>
        <b/>
        <sz val="11"/>
        <color theme="1"/>
        <rFont val="Aptos Narrow"/>
        <family val="2"/>
        <scheme val="minor"/>
      </rPr>
      <t>expected utility theory</t>
    </r>
    <r>
      <rPr>
        <sz val="11"/>
        <color theme="1"/>
        <rFont val="Aptos Narrow"/>
        <family val="2"/>
        <scheme val="minor"/>
      </rPr>
      <t xml:space="preserve"> [</t>
    </r>
    <r>
      <rPr>
        <b/>
        <sz val="11"/>
        <color theme="1"/>
        <rFont val="Aptos Narrow"/>
        <family val="2"/>
        <scheme val="minor"/>
      </rPr>
      <t>EUT</t>
    </r>
    <r>
      <rPr>
        <sz val="11"/>
        <color theme="1"/>
        <rFont val="Aptos Narrow"/>
        <family val="2"/>
        <scheme val="minor"/>
      </rPr>
      <t xml:space="preserve">- the only theory of </t>
    </r>
  </si>
  <si>
    <t xml:space="preserve">choice that satisfies all mathematical axioms of rational decision-making]. All three management strategies are shown – no treatment, testing and treatment- along with two thresholds </t>
  </si>
  <si>
    <t xml:space="preserve">shown as two broken vertical lines (testing threshold and treatment threshold). Because VTE and bleeding are undesirable (“bad”) events, the best strategy is one with the lowest expected </t>
  </si>
  <si>
    <t xml:space="preserve">utility (=weighted average of VTE and major bleeding). The vertical blue line indicates the risk for VTE recurrence without treatment for a recommendation (R) under consideration.  </t>
  </si>
  <si>
    <t>As explained in our paper [</t>
  </si>
  <si>
    <t xml:space="preserve">] if the probability of VTE is between two thresholds, we should perform thrombophilia testing and act </t>
  </si>
  <si>
    <t>accordingly. In cases of all recommendations except R15-R20, if the probability of VTE recurrence is greater than the treatment threshold [i.e., the vertical blue arrow in the EUT</t>
  </si>
  <si>
    <t>graph calculator is to the right of the treatment threshold], we should prescribe anticoagulants. Finally, if the probability of VTE is below testing threshold, we should refrain from</t>
  </si>
  <si>
    <t>testing or treatment. In cases R15-R20, when the treatments are COC and HRT we should prescribe the treatment when the risk of VTE recurrence is below the treatment threshold and</t>
  </si>
  <si>
    <t>refrain from testing or treatment when it is above the testing threshold.</t>
  </si>
  <si>
    <t>However, as discussed in our paper [</t>
  </si>
  <si>
    <t>https://doi.org/10.1182/bloodadvances.2024012931</t>
  </si>
  <si>
    <t xml:space="preserve">] people, including guidelines panels may also employ non-EUT decision strategies.  </t>
  </si>
  <si>
    <t xml:space="preserve">One such concept is acceptable regret (ARg) – a theoretical construct demonstrating that under some circumstances wrong decisions can be tolerated. Although it is not completely </t>
  </si>
  <si>
    <t xml:space="preserve">clear, the ASH thrombophilia panel may have relied on a variant of ARg when it, for example, considered ≤ VTE 5 events per 1000 patient-years as trivial. Therefore, we also included the </t>
  </si>
  <si>
    <t xml:space="preserve">second graph showing the best management strategies under ARg. Under acceptable regret theory any strategy that is below ARg line (shown as a horizontal, dark-blue line) at the chosen </t>
  </si>
  <si>
    <t xml:space="preserve">value for risk of VTE recurrence without treatment (light blue vertical arrow) is acceptable management strategy. Note that while under EUT, only one strategy is the best, under ARg theory </t>
  </si>
  <si>
    <t>there may be more than one strategy that are acceptable to a decision-maker (see also tab Tutorial-examples).</t>
  </si>
  <si>
    <r>
      <t xml:space="preserve">The EXCEL </t>
    </r>
    <r>
      <rPr>
        <sz val="11"/>
        <color rgb="FF000000"/>
        <rFont val="Calibri"/>
        <family val="2"/>
      </rPr>
      <t xml:space="preserve">tab "Agreement" also included </t>
    </r>
    <r>
      <rPr>
        <sz val="11"/>
        <color theme="1"/>
        <rFont val="Aptos"/>
        <family val="2"/>
      </rPr>
      <t xml:space="preserve">a table for all 69 recommendations. While EUT disagreed with the ASH thrombophilia panel in 52% of recommendations, </t>
    </r>
  </si>
  <si>
    <t>the disagreement fell to 29% according to ARG theory.</t>
  </si>
  <si>
    <t>Please see the accompanying paper and appendix for further technical details related to the calculator.</t>
  </si>
  <si>
    <t xml:space="preserve">Illustration of how to use a calculator </t>
  </si>
  <si>
    <t>Paper:</t>
  </si>
  <si>
    <t>There are 8 tabs in the file: 1) Introduction, 2) Practical tutorial, 3) List of all recommendations (R) (as per ASH Thrombophilia Guidelines), 4) R1-R10 and R21 to R23 recommendations, 5) R15-R20 recommendations, 6) Agreement between decision model and ASH guidelines, 7) Comments regarding some assumptions input in decision modeling.</t>
  </si>
  <si>
    <r>
      <rPr>
        <sz val="11"/>
        <color rgb="FF1A1A1A"/>
        <rFont val="Calibri"/>
        <family val="2"/>
      </rPr>
      <t xml:space="preserve">First two examples relates to application of the </t>
    </r>
    <r>
      <rPr>
        <b/>
        <sz val="11"/>
        <color rgb="FF1A1A1A"/>
        <rFont val="Calibri"/>
        <family val="2"/>
      </rPr>
      <t>expected utility theory (EUT)</t>
    </r>
    <r>
      <rPr>
        <sz val="11"/>
        <color rgb="FF1A1A1A"/>
        <rFont val="Calibri"/>
        <family val="2"/>
      </rPr>
      <t xml:space="preserve"> and third example refers to the application of </t>
    </r>
    <r>
      <rPr>
        <b/>
        <sz val="11"/>
        <color rgb="FF1A1A1A"/>
        <rFont val="Calibri"/>
        <family val="2"/>
      </rPr>
      <t>acceptable regret theory (ARgT)</t>
    </r>
    <r>
      <rPr>
        <sz val="11"/>
        <color rgb="FF1A1A1A"/>
        <rFont val="Calibri"/>
        <family val="2"/>
      </rPr>
      <t xml:space="preserve"> (see tab “Introduction” and the accompanying papers).</t>
    </r>
  </si>
  <si>
    <t>An illustrative example #1</t>
  </si>
  <si>
    <t>Let's assume you just saw a 60 y/o old man, otherwise healthy,  who had a right hip replacement and developed deep vein thrombosis (DVT) in his right femoral vein two weeks after surgery despite being given the usual surgical thromboprophylaxis. The surgery team placed him on apixaban, and he came to see you after completing three months of anticoagulant treatment for advice on whether to continue or discontinue apixaban.</t>
  </si>
  <si>
    <r>
      <t>To answer this question, you first review the list of recommendations (tab 3). You click on R2 ("VTE provoked by surgery") as the scenario that matches yours.</t>
    </r>
    <r>
      <rPr>
        <sz val="11"/>
        <color rgb="FF000000"/>
        <rFont val="Calibri"/>
        <family val="2"/>
      </rPr>
      <t xml:space="preserve"> This brings you to tab R1-R10. Fields in "green" are those where you want to modify entries to get an answer to your question. First, you need to locate recommendation R2 by using the drop-down arrow in column "V", row 2. In row 3, find the "drop-down" menu related to "bleeding risk". Because our patient is otherwise "healthy," i.e., considered to be at low risk of bleeding due to anticoagulants, you select the "low risk" option. Row 9, columns "G" and "H", show the cell with RV, which you can change to assess the impact of the patient's V&amp;P on recommendations (see Introduction). Right now leave it as default RV=1.</t>
    </r>
  </si>
  <si>
    <r>
      <t xml:space="preserve">You can immediately see the </t>
    </r>
    <r>
      <rPr>
        <b/>
        <sz val="11"/>
        <color rgb="FF000000"/>
        <rFont val="Calibri"/>
        <family val="2"/>
      </rPr>
      <t>output</t>
    </r>
    <r>
      <rPr>
        <sz val="11"/>
        <color rgb="FF000000"/>
        <rFont val="Calibri"/>
        <family val="2"/>
      </rPr>
      <t>: number of VTE and bleeding for each possible strategy [No treatment (No Rx) vs. Testing vs Treatment (Rx)] followed by recommendations using the decision model and ASH thrombophilia panel. Finally, the output includes a summary estimate of whether the decision model agrees with the ASH thrombophilia recommendations.</t>
    </r>
  </si>
  <si>
    <r>
      <t xml:space="preserve">In this example, our decision model disagrees with the ASH panel's intuitive judgment. The decision model recommends extending anticoagulation, while the ASH panel recommends discontinuing it. Why? We discuss possible explanations for this recommendation in our paper [link above]; also, see the case#3 below. 
However, in some other cases, the reasons for discrepancies are not clear. The main point is that every user (including guidelines panels) </t>
    </r>
    <r>
      <rPr>
        <b/>
        <sz val="11"/>
        <color rgb="FF000000"/>
        <rFont val="Calibri"/>
        <family val="2"/>
      </rPr>
      <t>should attempt to understand the reasons and/or reconcile these differences</t>
    </r>
    <r>
      <rPr>
        <sz val="11"/>
        <color rgb="FF000000"/>
        <rFont val="Calibri"/>
        <family val="2"/>
      </rPr>
      <t xml:space="preserve">. For example, using different assumptions about bleeding risk and patient's V&amp;P may bring this (and other divergent) recommendations in sync. Indeed, selecting "high bleeding" risk, the ASH thrombophilia panel's recommendation agrees with our decision model. However, if we change RV=0.5 i.e. we assume that the patient values avoiding VTE twice as much as bleeding, the ASH panel's recommendations and decision model disagree again. </t>
    </r>
  </si>
  <si>
    <t>An illustrative example #2</t>
  </si>
  <si>
    <t>Let's pick up another example. A 25 y/o woman with no significant personal or family history in terms of VTE comes for advice about oral contraceptives (COC). She worries about VTE adverse events, but avoiding pregnancy is at least five times more important to her at this time than possibly incurring a VTE.</t>
  </si>
  <si>
    <r>
      <t>Again, on the "</t>
    </r>
    <r>
      <rPr>
        <sz val="11"/>
        <color rgb="FF1A1A1A"/>
        <rFont val="Calibri"/>
        <family val="2"/>
      </rPr>
      <t>List of all recommendations" tab, locate R15 ["</t>
    </r>
    <r>
      <rPr>
        <sz val="11"/>
        <color rgb="FF242424"/>
        <rFont val="Calibri"/>
        <family val="2"/>
      </rPr>
      <t xml:space="preserve">Women from the general population considering COCs."]. We see the same output as before [in this case, treatment refers to "COC"]. A number of VTEs and pregnancies are shown for each strategy, along with recommendations based on the decision model and ASH thrombophilia panel. In this case, regardless of RV=1 or RV=5, the intuitive panel's judgment and recommendations based on the explicit decision modeling agree- giving us enhanced confidence in the accuracy of the recommendations.  </t>
    </r>
  </si>
  <si>
    <t xml:space="preserve">A user can try all other recommendations following the examples above. Note that even though the panel developed 23 recommendations for seven different clinical settings because some settings include a number of subgroups (eg, recommendations for patients with different types of thrombophilia), the calculator provides advice related to 69 different thrombophilia management recommendations. </t>
  </si>
  <si>
    <t>An illustrative example #3</t>
  </si>
  <si>
    <t>Recall that in the case#1 the EUT decision model disagreed with the ASH panel's intuitive judgment. The decision model recommended extending anticoagulation, while the ASH panel recommended discontinuing it.</t>
  </si>
  <si>
    <t>Let’s now apply the ARgT to the case #1 above.  ARgT shows that under some circumstances even suboptimal decisions can be tolerated (see Introduction and the accompanying papers). In Introduction we indicated that the ASH thrombophilia panel may have relied on a variant of ARg when it, for example, considered ≤5 events per 1000 patient-years as trivial. Let’s assume that the in the case #1 we would accept ≤5 (weighted average of VTE and major bleeding) events per 1000 as our ARg.  If we examine the right (ARgT) graph, we can see that all three management strategies – No Rx, Test or Treatment- are below the ARg line (denoted in the navy-blue broken horizontal line) at the vertical light blue arrow indicating the probability of VTE recurrence.  Therefore, we may conclude that, while under EUT the decision model does not agree with the thrombophilia guidelines, under ARgT the ASH thrombophilia panel’s recommendation is perfectly acceptable (even if this may have resulted in violation of EUT).</t>
  </si>
  <si>
    <t>Note that we say “the ASH thrombophilia panel may have relied on a variant of ARg” and do not claim that indeed the panel applied the ARgT. We say this for two reasons: 1) the panel made no mention of decision-theoretical constructs that may have underpinned its reasoning and decision-making, and 2) the panel only referred to VTE events (e.g., considered ≤5 VTE events per 1000 patient-years as trivial) and not to bleeding events. If we want to evaluate the impact of VTE events only, we can insert 0 in RV cell (H9). However, under these circumstances, the thresholds become zero, as there are no more trade-offs between VTE and bleeding to consider. In fact, when there are no trade-offs, then logically, treatment (“prescribe anticoagulants”) is always the best strategy. Similarly, if we are only concerned about (major) bleeding, we can replace RV with 1000 (a large number). This time, as expected, “No Rx” becomes the best management strategy.  The last two analyses illustrate why making decisions based on the strategies without trade-offs is illogical, and we do not recommend it.</t>
  </si>
  <si>
    <t>[A technical note: when moving from one decision to another, or attempting to perform various sensitivity analyses, please make sure to allow EXCEL to refresh between two analyses, as sometimes new analysis takes few seconds to replace the previous one]</t>
  </si>
  <si>
    <t>ASH 2023 VTE GUIDELINES: RECOMMENDATIONS R1 - R23</t>
  </si>
  <si>
    <t xml:space="preserve"> (R) no.</t>
  </si>
  <si>
    <t>Population</t>
  </si>
  <si>
    <t>Recommendation</t>
  </si>
  <si>
    <t>Strength, certainty in evidence∗ </t>
  </si>
  <si>
    <r>
      <t>Patients with symptomatic VTE</t>
    </r>
    <r>
      <rPr>
        <sz val="11"/>
        <color rgb="FF1A1A1A"/>
        <rFont val="Arial"/>
        <family val="2"/>
      </rPr>
      <t> </t>
    </r>
  </si>
  <si>
    <t>Unprovoked VTE </t>
  </si>
  <si>
    <t>Do not test for thrombophilia </t>
  </si>
  <si>
    <t>Conditional, ⊕○○○ </t>
  </si>
  <si>
    <t>VTE provoked by surgery </t>
  </si>
  <si>
    <t>VTE provoked by nonsurgical major transient risk factor </t>
  </si>
  <si>
    <t>Test for thrombophilia, and indefinite anticoagulant treatment for patients with thrombophilia </t>
  </si>
  <si>
    <t>VTE provoked by pregnancy or postpartum </t>
  </si>
  <si>
    <t>VTE associated with use of COC </t>
  </si>
  <si>
    <t>An unspecified type of VTE (ie, not specified as provoked or unprovoked VTE) </t>
  </si>
  <si>
    <r>
      <t>Patients with symptomatic VTE in unusual sites</t>
    </r>
    <r>
      <rPr>
        <sz val="11"/>
        <color rgb="FFFF0000"/>
        <rFont val="Arial"/>
        <family val="2"/>
      </rPr>
      <t> </t>
    </r>
  </si>
  <si>
    <t>There is no unanimous approach to the optimal duration of anticoagulation treatment of CVT and splanchnic venous thromboses, with some providers and settings adopting long- and other short-term anticoagulation, and others deciding based on the clinical presentation. The panel issued 2 recommendations for each clinical scenario, separately for (a) settings where the standard of care would be stopping treatment in most patients after primary treatment of 3-6 months and (b) for settings where the standard of care would be treating most patients with indefinite anticoagulation. </t>
  </si>
  <si>
    <t>CVT </t>
  </si>
  <si>
    <t>(a) In settings when anticoagulation would otherwise be discontinued after primary short-term treatment: test for thrombophilia, and indefinite anticoagulant treatment for patients with thrombophilia </t>
  </si>
  <si>
    <t>(b) In settings when anticoagulation would otherwise be continued indefinitely: do not test for thrombophilia </t>
  </si>
  <si>
    <t>Splanchnic venous thrombosis </t>
  </si>
  <si>
    <r>
      <t>Asymptomatic individuals with a family history of VTE and/or thrombophilia</t>
    </r>
    <r>
      <rPr>
        <sz val="11"/>
        <color rgb="FF1A1A1A"/>
        <rFont val="Arial"/>
        <family val="2"/>
      </rPr>
      <t> </t>
    </r>
  </si>
  <si>
    <r>
      <t>Individuals with a minor transient risk factor for VTE</t>
    </r>
    <r>
      <rPr>
        <sz val="11"/>
        <color rgb="FFFF0000"/>
        <rFont val="Arial"/>
        <family val="2"/>
      </rPr>
      <t> </t>
    </r>
  </si>
  <si>
    <t>The panel considered the scenario where an individual with a family history of VTE and/or thrombophilia was presenting with a minor transient risk factor for VTE. The clinical question was if testing and providing pharmacological prophylaxis to individuals with thrombophilia would be beneficial. Two testing strategies were separately considered: (a) doing a thrombophilia panel (ie, testing for all hereditary thrombophilias) and (b) selective testing for the thrombophilia known in the family. </t>
  </si>
  <si>
    <t>Individuals with a family history of VTE and known thrombophilia </t>
  </si>
  <si>
    <t>Strategy #1: selective testing for the thrombophilia known in the family </t>
  </si>
  <si>
    <t>Heterozygous FVL or heterozygous PGM </t>
  </si>
  <si>
    <t>Protein C, S, or antithrombin deficiency </t>
  </si>
  <si>
    <t>Test for the thrombophilia known in the family and use thromboprophylaxis in individuals with thrombophilia </t>
  </si>
  <si>
    <t>Strategy #2: doing a thrombophilia panel </t>
  </si>
  <si>
    <t>Do not test for a panel of hereditary thrombophilias (panel) </t>
  </si>
  <si>
    <t>Test for all hereditary thrombophilia (panel) and use thromboprophylaxis in individuals with thrombophilia </t>
  </si>
  <si>
    <t>Individuals with a family history of VTE and unknown thrombophilia status </t>
  </si>
  <si>
    <t>Individuals with a family history of thrombophilia but no VTE </t>
  </si>
  <si>
    <t>Protein C, S, or antithrombin deficiency in first-degree relatives </t>
  </si>
  <si>
    <t>Protein C, S, or antithrombin deficiency in second-degree relatives </t>
  </si>
  <si>
    <t>Either test or do not test for the thrombophilia known in the family to guide thromboprophylaxis </t>
  </si>
  <si>
    <r>
      <t>Women considering using COC or HRT</t>
    </r>
    <r>
      <rPr>
        <sz val="11"/>
        <color rgb="FFFF0000"/>
        <rFont val="Arial"/>
        <family val="2"/>
      </rPr>
      <t> </t>
    </r>
  </si>
  <si>
    <t>The panel considered the scenario where a woman, either from the general population or with a family history of VTE and/or thrombophilia, considers using hormones that increase VTE risk, that is, COCs or HRT. The clinical question was if it would be beneficial to test and avoid these hormones in women with thrombophilia. Two testing strategies were separately considered: (a) doing a thrombophilia panel (ie, testing for all hereditary thrombophilias) and (b) selective testing for the thrombophilia known in the family. </t>
  </si>
  <si>
    <t>Women from the general population considering COCs </t>
  </si>
  <si>
    <t>Strong, ⊕⊕○○ </t>
  </si>
  <si>
    <t>Women from the general population considering HRT </t>
  </si>
  <si>
    <t>Conditional, ⊕⊕○○ </t>
  </si>
  <si>
    <t>Women with a family history of VTE and unknown thrombophilia in the family considering COCs </t>
  </si>
  <si>
    <t>Women with a family history of VTE and unknown thrombophilia in the family considering HRT </t>
  </si>
  <si>
    <t>Women with a family history of VTE and thrombophilia considering COCs </t>
  </si>
  <si>
    <t>Strategy: selective testing for the thrombophilia known in the family </t>
  </si>
  <si>
    <t>FVL or PGM </t>
  </si>
  <si>
    <t>Test for thrombophilia and avoid COCs in women with thrombophilia </t>
  </si>
  <si>
    <t>Women with a family history of VTE and thrombophilia considering HRT </t>
  </si>
  <si>
    <t>Test for thrombophilia and avoid HRT in women with thrombophilia </t>
  </si>
  <si>
    <r>
      <t>Women who are planning pregnancy</t>
    </r>
    <r>
      <rPr>
        <sz val="11"/>
        <color rgb="FFFF0000"/>
        <rFont val="Arial"/>
        <family val="2"/>
      </rPr>
      <t> </t>
    </r>
  </si>
  <si>
    <t>The panel considered the scenario where a woman with a family history of VTE and thrombophilia is planning a pregnancy. The clinical question was if testing and using antepartum and/or postpartum thromboprophylaxis in women with thrombophilia would be beneficial. Only the strategy of selective testing for the thrombophilia known in the family was considered.</t>
  </si>
  <si>
    <r>
      <t>Recommendations on antepartum and postpartum prophylaxis in women with thrombophilia are already given in the ASH guidelines on the management of VTE in the context of pregnancy.</t>
    </r>
    <r>
      <rPr>
        <vertAlign val="superscript"/>
        <sz val="11"/>
        <color theme="1"/>
        <rFont val="Aptos Narrow"/>
        <family val="2"/>
        <scheme val="minor"/>
      </rPr>
      <t>27</t>
    </r>
    <r>
      <rPr>
        <sz val="11"/>
        <color theme="1"/>
        <rFont val="Aptos Narrow"/>
        <family val="2"/>
        <scheme val="minor"/>
      </rPr>
      <t> Hence, the panel did not review the evidence for women with heterozygous FVL or heterozygous PGM, as the ASH guidelines on the management of VTE in the context of pregnancy already suggest not to prescribe thromboprophylaxis in these women. </t>
    </r>
  </si>
  <si>
    <t>Antepartum prophylaxis </t>
  </si>
  <si>
    <t>Women with a family history of VTE and thrombophilia </t>
  </si>
  <si>
    <t>Known homozygous FVL, combination of FVL and PGM, or antithrombin deficiency </t>
  </si>
  <si>
    <t>Test for the thrombophilia known in the family and use antepartum thromboprophylaxis in women with thrombophilia </t>
  </si>
  <si>
    <t>Known protein C or protein S deficiency in the family </t>
  </si>
  <si>
    <t>Either test or do not test for the thrombophilia known in the family to guide antepartum thromboprophylaxis </t>
  </si>
  <si>
    <t>Postpartum prophylaxis </t>
  </si>
  <si>
    <t>Known homozygous FVL, combination of FVL and PGM, or antithrombin, protein C, or protein S deficiency </t>
  </si>
  <si>
    <t>Test for the thrombophilia known in the family and use postpartum thromboprophylaxis in women with thrombophilia </t>
  </si>
  <si>
    <t>Known combination of FVL and PGM, or antithrombin deficiency in second-degree relatives </t>
  </si>
  <si>
    <t>Either test or do not test for the thrombophilia known in the family to guide postpartum thromboprophylaxis </t>
  </si>
  <si>
    <r>
      <t>Patients with cancer</t>
    </r>
    <r>
      <rPr>
        <sz val="11"/>
        <color rgb="FFFF0000"/>
        <rFont val="Arial"/>
        <family val="2"/>
      </rPr>
      <t> </t>
    </r>
  </si>
  <si>
    <t>The panel only addressed patients with cancer who are classified to be at low or moderate risk of VTE, as the ASH VTE guidelines on prevention and treatment for patients with cancer already suggest using DOAC prophylaxis in all ambulatory patients with cancer at high risk of VTE. </t>
  </si>
  <si>
    <t>Ambulatory patients with cancer who are classified to be at low or intermediate risk for VTE, who have a family history of VTE in first-degree relatives </t>
  </si>
  <si>
    <t>Strategy: doing a thrombophilia panel</t>
  </si>
  <si>
    <t>Scenario:</t>
  </si>
  <si>
    <t>R2: Patients with symptomatic venous thromboembolism provoked by surgery who completed primary short-term treatment.</t>
  </si>
  <si>
    <t xml:space="preserve">We assume that the bleeding is </t>
  </si>
  <si>
    <t>High risk</t>
  </si>
  <si>
    <t>NoRx:</t>
  </si>
  <si>
    <t>Test:</t>
  </si>
  <si>
    <t>Rx:</t>
  </si>
  <si>
    <r>
      <t>Decision theory</t>
    </r>
    <r>
      <rPr>
        <b/>
        <vertAlign val="superscript"/>
        <sz val="11"/>
        <color theme="1"/>
        <rFont val="Aptos Narrow"/>
        <family val="2"/>
        <scheme val="minor"/>
      </rPr>
      <t>(1)</t>
    </r>
    <r>
      <rPr>
        <b/>
        <sz val="11"/>
        <color theme="1"/>
        <rFont val="Aptos Narrow"/>
        <family val="2"/>
        <scheme val="minor"/>
      </rPr>
      <t>:</t>
    </r>
  </si>
  <si>
    <t>Patient's values and preferences</t>
  </si>
  <si>
    <t>RV =</t>
  </si>
  <si>
    <r>
      <t>Rg</t>
    </r>
    <r>
      <rPr>
        <b/>
        <vertAlign val="subscript"/>
        <sz val="11"/>
        <color theme="1"/>
        <rFont val="Aptos Narrow"/>
        <family val="2"/>
        <scheme val="minor"/>
      </rPr>
      <t>o</t>
    </r>
    <r>
      <rPr>
        <b/>
        <sz val="11"/>
        <color theme="1"/>
        <rFont val="Aptos Narrow"/>
        <family val="2"/>
        <scheme val="minor"/>
      </rPr>
      <t xml:space="preserve"> = </t>
    </r>
  </si>
  <si>
    <t xml:space="preserve">NoRx: </t>
  </si>
  <si>
    <t xml:space="preserve">Test: </t>
  </si>
  <si>
    <t xml:space="preserve">Rx: </t>
  </si>
  <si>
    <t>Decision theory conclusion:</t>
  </si>
  <si>
    <r>
      <t>ASH guidelines</t>
    </r>
    <r>
      <rPr>
        <b/>
        <vertAlign val="superscript"/>
        <sz val="11"/>
        <color theme="1"/>
        <rFont val="Aptos Narrow"/>
        <family val="2"/>
        <scheme val="minor"/>
      </rPr>
      <t>(2)</t>
    </r>
    <r>
      <rPr>
        <b/>
        <sz val="11"/>
        <color theme="1"/>
        <rFont val="Aptos Narrow"/>
        <family val="2"/>
        <scheme val="minor"/>
      </rPr>
      <t xml:space="preserve"> recommendation:</t>
    </r>
  </si>
  <si>
    <t>(1) Based on “ Djulbegovic B, Hozo I, Guyatt G. Decision Theoretical Foundations of Clinical Practice Guidelines: An Extension of the ASH Thrombophilia Guidelines. Blood Advances 2024;”</t>
  </si>
  <si>
    <t xml:space="preserve">(2) Based on ASH thrombophilia guidelines: </t>
  </si>
  <si>
    <t xml:space="preserve">https://ashpublications.org/bloodadvances/article/7/22/7101/495845/American-Society-of-Hematology-2023-guidelines-for </t>
  </si>
  <si>
    <t>NOTE: The cells in the rows below are in white font to avoid unintentional errors. They contain the input parameters and assumptions for each scenarios and are not organized in a presentable way.</t>
  </si>
  <si>
    <t>Pick Case (edit the cells in green if necessary)</t>
  </si>
  <si>
    <t>Low risk</t>
  </si>
  <si>
    <t xml:space="preserve">major bleeding </t>
  </si>
  <si>
    <t>THRESHOLDS</t>
  </si>
  <si>
    <t>Number of patients</t>
  </si>
  <si>
    <t>Overall risk for VTE recurrence</t>
  </si>
  <si>
    <t>Relative risk of Major bleeding</t>
  </si>
  <si>
    <t>Testing threshold</t>
  </si>
  <si>
    <t>Action threshold</t>
  </si>
  <si>
    <t>Treatment threshold</t>
  </si>
  <si>
    <t>Prevalence of any thrombophilia</t>
  </si>
  <si>
    <t>Thrombophilia</t>
  </si>
  <si>
    <r>
      <t>RR</t>
    </r>
    <r>
      <rPr>
        <vertAlign val="subscript"/>
        <sz val="11"/>
        <color theme="0"/>
        <rFont val="Aptos Narrow"/>
        <family val="2"/>
        <scheme val="minor"/>
      </rPr>
      <t>bleed</t>
    </r>
    <r>
      <rPr>
        <sz val="11"/>
        <color theme="0"/>
        <rFont val="Aptos Narrow"/>
        <family val="2"/>
        <scheme val="minor"/>
      </rPr>
      <t xml:space="preserve"> = </t>
    </r>
  </si>
  <si>
    <t>Bleed</t>
  </si>
  <si>
    <t>Relative risk for VTE recurrence in thrombophilia positives versus negatives, RR</t>
  </si>
  <si>
    <t>Positives</t>
  </si>
  <si>
    <t>Negatives</t>
  </si>
  <si>
    <t>Treatment thresholds</t>
  </si>
  <si>
    <t>Low</t>
  </si>
  <si>
    <t>High</t>
  </si>
  <si>
    <t>Posterior probability of VTE recurrence</t>
  </si>
  <si>
    <t>Number of cases</t>
  </si>
  <si>
    <t>VTE</t>
  </si>
  <si>
    <t>Relative risk for VTE recurrence  treated vs non-treated</t>
  </si>
  <si>
    <t>Treat none</t>
  </si>
  <si>
    <t>Test</t>
  </si>
  <si>
    <t>Case</t>
  </si>
  <si>
    <t xml:space="preserve">Prevalence of VTE recurrence </t>
  </si>
  <si>
    <t>INPUT_Table</t>
  </si>
  <si>
    <t>Treat all</t>
  </si>
  <si>
    <t xml:space="preserve">Major bleeding </t>
  </si>
  <si>
    <t>Tp</t>
  </si>
  <si>
    <t>RRt</t>
  </si>
  <si>
    <t>RRrx</t>
  </si>
  <si>
    <t>RRbleed</t>
  </si>
  <si>
    <t># of decimals</t>
  </si>
  <si>
    <t>Rec_Table</t>
  </si>
  <si>
    <t>R1</t>
  </si>
  <si>
    <t>Patients with unprovoked symptomatic venous thromboembolism who completed primary short-term treatment.</t>
  </si>
  <si>
    <t>For patients with unprovoked VTE who have completed primary short-term treatment, the ASH guideline panel suggests not to perform thrombophilia testing and recommend indefinite anticoagulant treatment to all patients (conditional recommendation based on very low certainty in the evidence about effects).</t>
  </si>
  <si>
    <t>Rx</t>
  </si>
  <si>
    <t>Patients with symptomatic VTE </t>
  </si>
  <si>
    <t>R2</t>
  </si>
  <si>
    <t>Patients with symptomatic venous thromboembolism provoked by surgery who completed primary short-term treatment.</t>
  </si>
  <si>
    <t>For patients with VTE provoked by surgery who have completed primary short-term treatment, the ASH guideline panel suggests not to perform thrombophilia testing and stopping anticoagulant treatment in all (conditional recommendation based on very low certainty in the evidence about effects).</t>
  </si>
  <si>
    <t>NoRx</t>
  </si>
  <si>
    <t>R3</t>
  </si>
  <si>
    <t>Patients with symptomatic venous thromboembolism provoked by a non-surgical major transient risk factor who completed primary short-term treatment.</t>
  </si>
  <si>
    <t>The ASH guideline panel suggests testing for thrombophilia and indefinite anticoagulant treatment for patients with thrombophilia and stopping anticoagulant treatment for patients without thrombophilia instead of no thrombophilia testing and stopping anticoagulant treatment in all (conditional recommendation based on very low certainty in the evidence about effects).</t>
  </si>
  <si>
    <t>R4</t>
  </si>
  <si>
    <t>Women with VTE provoked by pregnancy or postpartum who completed primary treatment.</t>
  </si>
  <si>
    <t>The ASH guideline panel suggests thrombophilia testing and indefinite anticoagulant treatment for women with thrombophilia and stopping anticoagulant treatment for women without thrombophilia instead of no thrombophilia testing and stopping anticoagulant treatment in all (conditional recommendation based on very low certainty in the evidence about effects).</t>
  </si>
  <si>
    <t>R5</t>
  </si>
  <si>
    <t>Women with VTE associated with use of combined oral contraceptives who completed primary short-term treatment.</t>
  </si>
  <si>
    <t>The ASH guideline panel suggests testing for thrombophilia with indefinite anticoagulant treatment for women with thrombophilia and stopping anticoagulant treatment for women without thrombophilia instead of no thrombophilia testing and stopping anticoagulant treatment in all (conditional recommendation based on very low certainty in the evidence about effects).</t>
  </si>
  <si>
    <t>R6</t>
  </si>
  <si>
    <t>Patients with an unspecified type of venous thromboembolism who completed primary short-term treatment.</t>
  </si>
  <si>
    <t>The ASH guideline panel suggests not performing thrombophilia testing to guide anticoagulant treatment duration and administer indefinite anticoagulant treatment in all (conditional recommendation based on very low certainty in the evidence about effects).</t>
  </si>
  <si>
    <t>R7</t>
  </si>
  <si>
    <t>Patients with cerebral venous thrombosis planning to discontinue anticoagulation.</t>
  </si>
  <si>
    <t>The ASH guideline panel suggests thrombophilia testing and indefinite anticoagulation for patients with thrombophilia  testing and subsequent indefinite anticoagulant treatment in patients positive for thrombophilia and stopping anticoagulant treatment in patients negative for thrombophilia (over  no thrombophilia testing and stopping anticoagulant treatment in all) (conditional recommendation based on very low certainty in the evidence about effects).</t>
  </si>
  <si>
    <t>Patients with symptomatic VTE in unusual sites</t>
  </si>
  <si>
    <t>R8</t>
  </si>
  <si>
    <t>Patients with cerebral venous thrombosis planning to continue anticoagulation indefinitely.</t>
  </si>
  <si>
    <t>For patients with CVT who have completed primary treatment in a setting where anticoagulation would be continued indefinitely, the ASH guideline panel suggests not to perform thrombophilia testing to guide anticoagulant treatment duration [over thrombophilia testing and subsequent indefinite anticoagulant treatment in patients positive for thrombophilia and stopping anticoagulant treatment in patients negative for thrombophilia or no thrombophilia testing and indefinite anticoagulant treatment in all]  (conditional recommendation based on very low certainty in the evidence about effects)</t>
  </si>
  <si>
    <t>R9</t>
  </si>
  <si>
    <t>Patients with splanchnic venous thrombosis without cirrhosis planning to discontinue anticoagulation.</t>
  </si>
  <si>
    <t>The ASH guideline panel suggests thrombophilia testing and subsequent indefinite anticoagulant treatment in patients positive for thrombophilia and stopping anticoagulant treatment in patients negative for thrombophilia instead of no thrombophilia testing and stopping anticoagulant treatment in all (conditional recommendation based on very low certainty in the evidence about effects).</t>
  </si>
  <si>
    <t>R10</t>
  </si>
  <si>
    <t>Patients with splanchnic venous thrombosis without cirrhosis planning to continue anticoagulation indefinitely.</t>
  </si>
  <si>
    <t>The ASH guideline panel suggests not performing thrombophilia testing and continue anticoagulation indefinitely (conditional recommendation based on very low certainty in the evidence about effects).</t>
  </si>
  <si>
    <t>Acceptable?</t>
  </si>
  <si>
    <t>CASE</t>
  </si>
  <si>
    <t>N(VTE)</t>
  </si>
  <si>
    <t>N(Bleed)</t>
  </si>
  <si>
    <t>Testing</t>
  </si>
  <si>
    <t>N</t>
  </si>
  <si>
    <t>prevalence of VTE</t>
  </si>
  <si>
    <t>EUT</t>
  </si>
  <si>
    <t>Regret</t>
  </si>
  <si>
    <t>Hnorx</t>
  </si>
  <si>
    <t>Rrbleed</t>
  </si>
  <si>
    <t>Treatment</t>
  </si>
  <si>
    <t>RV</t>
  </si>
  <si>
    <t>NOTE: the table on the right was the first attempt in creating the charts and was replaced with the table below in later drafts of this file! Ignore!</t>
  </si>
  <si>
    <t xml:space="preserve"> TABLE</t>
  </si>
  <si>
    <t>SCALE LIMITS</t>
  </si>
  <si>
    <t>REGRET</t>
  </si>
  <si>
    <t>R11e: First-degree relatives of patients with VTE and protein S deficiency (PS) who have a minor provoking VTE risk factor for PS.</t>
  </si>
  <si>
    <t>R11a</t>
  </si>
  <si>
    <t>First-degree relatives of patients with VTE and factor V Leiden (FVL) who have a minor provoking VTE risk factor for FVL.</t>
  </si>
  <si>
    <t>For individuals with a family history of VTE and known FVL (low-risk thrombophilia) who have a minor provoking risk factor for VTE (eg, immobility or minor injury, illness, or infection), the ASH guideline panel suggests not testing for the known familial thrombophilia to guide thromboprophylaxis, and not administering thromboprophylaxis in all patients [over selective thrombophilia testing and subsequent thromboprophylaxis in relatives positive for thrombophilia and no thromboprophylaxis in relatives negative for thrombophilia] (conditional recommendation based on very low certainty in the evidence about effects).</t>
  </si>
  <si>
    <t xml:space="preserve">Asymptomatic individuals with a family history of VTE and/or thrombophilia and a minor transient risk factor for VTE </t>
  </si>
  <si>
    <t>FVL</t>
  </si>
  <si>
    <t>R11b</t>
  </si>
  <si>
    <t>First-degree relatives of patients with VTE and prothrombin mutation (PT) who have a minor provoking VTE risk factor for PT.</t>
  </si>
  <si>
    <t>For individuals with a family history of VTE and known PGM  (low-risk thrombophilia) who have a minor provoking risk factor for VTE (eg, immobility or minor injury, illness, or infection),  the ASH guideline panel suggests not testing for the known familial thrombophilia to guide thromboprophylaxis, and not administering thromboprophylaxis in all patients [over selective thrombophilia testing and subsequent thromboprophylaxis in relatives positive for thrombophilia and no thromboprophylaxis in relatives negative for thrombophilia] (conditional recommendation based on very low certainty in the evidence about effects).</t>
  </si>
  <si>
    <t>PT</t>
  </si>
  <si>
    <t>R11c</t>
  </si>
  <si>
    <t>First-degree relatives of patients with VTE and antithrombin deficiency (AT) who have a minor provoking VTE risk factor for AT.</t>
  </si>
  <si>
    <t>For individuals with a family history of VTE and known antithrombin deficiency (high-risk thrombophilia) who have a minor provoking risk factor for VTE, the ASH guideline panel suggests testing for the known familial thrombophilia. The panel suggests thromboprophylaxis in individuals with thrombophilia and no thromboprophylaxis in individuals without thrombophilia (conditional recommendation based on very low certainty in the evidence about effects)</t>
  </si>
  <si>
    <t>AT</t>
  </si>
  <si>
    <t>R11d</t>
  </si>
  <si>
    <t>First-degree relatives of patients with VTE and protein C deficiency (PC) who have a minor provoking VTE risk factor for PC.</t>
  </si>
  <si>
    <t>For individuals with a family history of VTE and known protein C deficiency (high-risk thrombophilia) who have a minor provoking risk factor for VTE, the ASH guideline panel suggests testing for the known familial thrombophilia. The panel suggests thromboprophylaxis in individuals with thrombophilia and no thromboprophylaxis in individuals without thrombophilia (conditional recommendation based on very low certainty in the evidence about effects)</t>
  </si>
  <si>
    <t>PC</t>
  </si>
  <si>
    <t>R11e</t>
  </si>
  <si>
    <t>First-degree relatives of patients with VTE and protein S deficiency (PS) who have a minor provoking VTE risk factor for PS.</t>
  </si>
  <si>
    <t>For individuals with a family history of VTE and known protein S deficiency (high-risk thrombophilia) who have a minor provoking risk factor for VTE, the ASH guideline panel suggests testing for the known familial thrombophilia. The panel suggests thromboprophylaxis in individuals with thrombophilia and no thromboprophylaxis in individuals without thrombophilia (conditional recommendation based on very low certainty in the evidence about effects)</t>
  </si>
  <si>
    <t>PS</t>
  </si>
  <si>
    <t>R12a</t>
  </si>
  <si>
    <t>First-degree relatives of patients with VTE and factor V Leiden (FVL) who have a minor provoking VTE risk factor for any hereditary thrombophilia.</t>
  </si>
  <si>
    <t>For individuals with a family history of VTE and known FVL (low-risk thrombophilia) who have a minor provoking risk factor for VTE (eg, immobility or minor injury, illness, or infection), the ASH guideline panel suggests not testing for all hereditary thrombophilias to guide thromboprophylaxis [ over testing for any hereditary thrombophilia and subsequent thromboprophylaxis in relatives positive for thrombophilia and no thromboprophylaxis in relatives negative for thrombophilia , or no thrombophilia testing and no thromboprophylaxis in all] (conditional recommendation based on very low certainty in the evidence about effects).</t>
  </si>
  <si>
    <t>R12b</t>
  </si>
  <si>
    <t>First-degree relatives of patients with VTE and prothrombin mutation (PT) who have a minor provoking VTE risk factor for any hereditary thrombophilia.</t>
  </si>
  <si>
    <t>For individuals with a family history of VTE and known PGM (low-risk thrombophilia) who have a minor provoking risk factor for VTE (eg, immobility or minor injury, illness, or infection), the ASH guideline panel suggests not testing for all hereditary thrombophilias to guide thromboprophylaxis [ over testing for any hereditary thrombophilia and subsequent thromboprophylaxis in relatives positive for thrombophilia and no thromboprophylaxis in relatives negative for thrombophilia , or no thrombophilia testing and no thromboprophylaxis in all] (conditional recommendation based on very low certainty in the evidence about effects).</t>
  </si>
  <si>
    <t>R12c</t>
  </si>
  <si>
    <t>First-degree relatives of patients with VTE and antithrombin deficiency (AT) who have a minor provoking VTE risk factor for any hereditary thrombophilia.</t>
  </si>
  <si>
    <t xml:space="preserve">For individuals with a family history of VTE and known antithrombin deficiency (high-risk thrombophilia) who have a minor provoking risk factor for VTE, the ASH guideline panel suggests testing for all hereditary thrombophilias (using a panel of tests). The panel suggests thromboprophylaxis in individuals with thrombophilia and no thromboprophylaxis for a minor provoking risk factor in individuals without thrombophilia (conditional recommendation based on very low certainty in the evidence about effects) </t>
  </si>
  <si>
    <t>R12d</t>
  </si>
  <si>
    <t>First-degree relatives of patients with VTE and protein C deficiency (PC) who have a minor provoking VTE risk factor for any hereditary thrombophilia.</t>
  </si>
  <si>
    <t>For individuals with a family history of VTE and known protein C deficiency (high-risk thrombophilia) who have a minor provoking risk factor for VTE, the ASH guideline panel suggests testing for all hereditary thrombophilias (using a panel of tests). The panel suggests thromboprophylaxis in individuals with thrombophilia and no thromboprophylaxis for a minor provoking risk factor in individuals without thrombophilia (conditional recommendation based on very low certainty in the evidence about effects).</t>
  </si>
  <si>
    <t>R12e</t>
  </si>
  <si>
    <t>First-degree relatives of patients with VTE and protein S deficiency (PS) who have a minor provoking VTE risk factor for any hereditary thrombophilia.</t>
  </si>
  <si>
    <t xml:space="preserve">For individuals with a family history of VTE and known protein S deficiency (high-risk thrombophilia) who have a minor provoking risk factor for VTE, the ASH guideline panel suggests testing for all hereditary thrombophilias (using a panel of tests). The panel suggests thromboprophylaxis in individuals with thrombophilia and no thromboprophylaxis for a minor provoking risk factor in individuals without thrombophilia (conditional recommendation based on very low certainty in the evidence about effects) </t>
  </si>
  <si>
    <t>R13</t>
  </si>
  <si>
    <t>First-degree relatives of patients with VTE and unknown thrombophilia status who have a minor provoking risk factor for VTE.</t>
  </si>
  <si>
    <t>The ASH guideline panel suggests not testing for all hereditary thrombophilias (using a panel of tests) to guide thromboprophylaxis and no thromboprophylaxis in all (conditional recommendation based on very low certainty in the evidence about effects).</t>
  </si>
  <si>
    <t>R14a</t>
  </si>
  <si>
    <t>First-degree relatives of patients with a family history of FVL  (low-risk thrombophilia) but no family history of VTE who have a minor provoking risk factor for VTE</t>
  </si>
  <si>
    <t>The ASH guideline panel suggests not testing for the known thrombophilia to guide thromboprophylaxis and no thromboprophylaxis in all (conditional recommendation based on very low certainty in the evidence about effects).</t>
  </si>
  <si>
    <t>R14b</t>
  </si>
  <si>
    <t>First-degree relatives of patients with a family history of  PGM (low-risk thrombophilia) but no family history of VTE who have a minor provoking risk factor for VTE</t>
  </si>
  <si>
    <t>PGM=PT</t>
  </si>
  <si>
    <t>R14c</t>
  </si>
  <si>
    <t>First-degree relatives of patients with a family history of  antithrombin (high-risk thrombophilia) but no family history of VTE who have a minor provoking risk factor for VTE</t>
  </si>
  <si>
    <t>For individuals with a first-degree family history of antithrombin deficiency (high-risk thrombophilia) but no family history of VTE who have a minor provoking risk factor for VTE, the ASH guideline panel suggests testing for the known thrombophilia. The panel suggests thromboprophylaxis in individuals with thrombophilia and no thromboprophylaxis in individuals without thrombophilia (conditional recommendation based on very low certainty in the evidence about effects).</t>
  </si>
  <si>
    <t>R14d</t>
  </si>
  <si>
    <t>First-degree relatives of patientss with a family history of  protein C (high-risk thrombophilia) but no family history of VTE who have a minor provoking risk factor for VTE</t>
  </si>
  <si>
    <t>For individuals with a first-degree family history of protein C deficiency (high-risk thrombophilia) but no family history of VTE who have a minor provoking risk factor for VTE, the ASH guideline panel suggests testing for the known thrombophilia. The panel suggests thromboprophylaxis in individuals with thrombophilia and no thromboprophylaxis in individuals without thrombophilia (conditional recommendation based on very low certainty in the evidence about effects).</t>
  </si>
  <si>
    <t>R14e</t>
  </si>
  <si>
    <t>First-degree relatives of patients with a family history of  protein S (high-risk thrombophilia) but no family history of VTE who have a minor provoking risk factor for VTE</t>
  </si>
  <si>
    <t>For individuals with a first-degree family history of protein S deficiency (high-risk thrombophilia) but no family history of VTE who have a minor provoking risk factor for VTE, the ASH guideline panel suggests testing for the known thrombophilia. The panel suggests thromboprophylaxis in individuals with thrombophilia and no thromboprophylaxis in individuals without thrombophilia (conditional recommendation based on very low certainty in the evidence about effects).</t>
  </si>
  <si>
    <t>R21a</t>
  </si>
  <si>
    <t>Women with a family history of VTE and known homozygous FVL in the family.</t>
  </si>
  <si>
    <t>Compared to no thrombophilia testing and no antepartum thromboprophylaxis in all patients, the ASH guideline panel suggests testing for the known familial thrombophilia and antepartum thromboprophylaxis for women with the same familial thrombophilia, but no antepartum prophylaxis for women without the same familial thrombophilia (conditional recommendation based on very low certainty in the evidence about effects).</t>
  </si>
  <si>
    <t>Asymptomatic women who have a family history of VTE and a known thrombophilia in the family.</t>
  </si>
  <si>
    <t>R21b</t>
  </si>
  <si>
    <t>Women with a family history of VTE and an antithrombin deficiency in the family.</t>
  </si>
  <si>
    <t>The ASH guideline panel suggests testing for the known familial thrombophilia and postpartum thromboprophylaxis for women with the same familial thrombophilia and no postpartum prophylaxis for women without the same familial thrombophilia [over no thrombophilia testing and no thromboprophylaxis in all] (conditional recommendation based on very low certainty in the evidence about effects).</t>
  </si>
  <si>
    <t>R21c</t>
  </si>
  <si>
    <t>Women with a family history of VTE and a known protein C deficiency in the family.</t>
  </si>
  <si>
    <t>The ASH guideline panel suggests either testing for the known familial thrombophilia to guide antepartum prophylaxis or not testing for thrombophilia and no antepartum thromboprophylaxis in all (conditional recommendation based on very low certainty in the evidence about effects).</t>
  </si>
  <si>
    <t>R21d</t>
  </si>
  <si>
    <t>Women with a family history of VTE and a known protein S deficiency in the family.</t>
  </si>
  <si>
    <t>R21e</t>
  </si>
  <si>
    <t>Women with a family history of VTE and a combination of FVL and PGM in the family.</t>
  </si>
  <si>
    <t>The ASH guideline panel suggests testing for the known familial thrombophilia and antepartum thromboprophylaxis for women with the same familial thrombophilia and no antepartum prophylaxis for women without the same familial thrombophilia [over no thrombophilia testing and no thromboprophylaxis in all] (conditional recommendation based on very low certainty in the evidence about effects).</t>
  </si>
  <si>
    <t>FVL &amp; PGM=PT</t>
  </si>
  <si>
    <t>R22a</t>
  </si>
  <si>
    <t>Women with a first or second-degree family history of VTE and known homozygous FVL in the family.</t>
  </si>
  <si>
    <t>R22b</t>
  </si>
  <si>
    <t>Women with a first or second-degree family history of VTE and known antithrombin deficiency in the family.</t>
  </si>
  <si>
    <t>R22c</t>
  </si>
  <si>
    <t>Women with a first or second-degree family history of VTE and known protein C deficiency in the family.</t>
  </si>
  <si>
    <t>For women with a first-degree family history of VTE and a known protein C deficiency in the family, the ASH guideline panel suggests testing for the known familial thrombophilia and postpartum thromboprophylaxis for women with the same familial thrombophilia and no postpartum prophylaxis for women without the same familial thrombophilia [over no thrombophilia testing and no thromboprophylaxis in all] (conditional recommendation based on very low certainty in the evidence about effects). For women with a second-degree family history of VTE and a known protein C deficiency in the family, the ASH guideline panel suggests either testing for the known familial thrombophilia or not testing for thrombophilia to guide postpartum thromboprophylaxis (conditional recommendation based on very low certainty in the evidence about effects).</t>
  </si>
  <si>
    <t>R22d</t>
  </si>
  <si>
    <t>Women with a first or second-degree family history of VTE and known protein S deficiency in the family.</t>
  </si>
  <si>
    <t>For women with a first-degree family history of VTE and a known protein S deficiency in the family, the ASH guideline panel suggests testing for the known familial thrombophilia and postpartum thromboprophylaxis for women with the same familial thrombophilia and no postpartum prophylaxis for women without the same familial thrombophilia [over no thrombophilia testing and no thromboprophylaxis in all] (conditional recommendation based on very low certainty in the evidence about effects). For women with a second-degree family history of VTE and a known protein S deficiency in the family, the ASH guideline panel suggests either testing for the known familial thrombophilia or not testing for thrombophilia to guide postpartum thromboprophylaxis (conditional recommendation based on very low certainty in the evidence about effects).</t>
  </si>
  <si>
    <t>R22e</t>
  </si>
  <si>
    <t>Women with a first or second-degree family history of VTE and known combination of FVL and PGM in the family.</t>
  </si>
  <si>
    <t>R23a</t>
  </si>
  <si>
    <t>Ambulatory patients with cancer who have a family history of VTE and are otherwise determined to be at low risk for VTE.</t>
  </si>
  <si>
    <t>For ambulatory patients with cancer receiving systemic therapy who have a family history of VTE and are otherwise determined to be at low risk for VTE, the ASH guideline panel suggests testing for hereditary thrombophilia. The panel suggests ambulatory thromboprophylaxis for patients with thrombophilia and no thromboprophylaxis for patients without thrombophilia (conditional recommendation based on very low certainty in the evidence about effects).</t>
  </si>
  <si>
    <t>Ambulatory patients with cancer without a personal history of VTE and a family history of VTE, who are at low risk for VTE.</t>
  </si>
  <si>
    <t>R23b</t>
  </si>
  <si>
    <t>Ambulatory patients with cancer who have a family history of VTE and are otherwise determined to be at intermediate risk for VTE.</t>
  </si>
  <si>
    <t>For ambulatory patients with cancer receiving systemic therapy who have a family history of VTE and are otherwise determined to be at intermediate risk for VTE, the ASH guideline panel suggests testing for hereditary thrombophilia. The panel suggests ambulatory thromboprophylaxis for patients with thrombophilia and no thromboprophylaxis for patients without thrombophilia (conditional recommendation based on very low certainty in the evidence about effects).</t>
  </si>
  <si>
    <t>Ambulatory patients with cancer without a personal history of VTE and a family history of VTE, who are at intermediate risk for VTE.</t>
  </si>
  <si>
    <t>Intermediate</t>
  </si>
  <si>
    <t>REGRET TABLE</t>
  </si>
  <si>
    <t>check</t>
  </si>
  <si>
    <t>R16a: Women from the general population considering HRT (estrogen alone)</t>
  </si>
  <si>
    <t>RR_Hrx</t>
  </si>
  <si>
    <t>Side-effect</t>
  </si>
  <si>
    <t>ASSUMPTIONS:</t>
  </si>
  <si>
    <t>REFERENCES</t>
  </si>
  <si>
    <t>PREGNANCIES</t>
  </si>
  <si>
    <t>HRT(combined)</t>
  </si>
  <si>
    <t>HRT(estrogen)</t>
  </si>
  <si>
    <t>https://www.ncbi.nlm.nih.gov/pmc/articles/PMC3638209/pdf/nihms458000.pdf</t>
  </si>
  <si>
    <t>Percentage of women experiencing an unintended pregnancy: 85%</t>
  </si>
  <si>
    <t>rrr</t>
  </si>
  <si>
    <t>https://www.plannedparenthood.org/learn/birth-control/birth-control-pill/how-effective-is-the-birth-control-pill</t>
  </si>
  <si>
    <t xml:space="preserve">If you use it perfectly, the pill is 99% effective. But people aren’t perfect and it’s easy to forget or miss pills — so in reality the pill is about 93% effective. </t>
  </si>
  <si>
    <t>Prevalence of VTE recurrence (withOUT Rx)</t>
  </si>
  <si>
    <t>Hrx</t>
  </si>
  <si>
    <t>hnorx</t>
  </si>
  <si>
    <t>https://www.jabfm.org/content/22/5/563/tab-figures-data/</t>
  </si>
  <si>
    <t>IMAGE: about 1/2 as many events with HRT than without!</t>
  </si>
  <si>
    <t>https://www.yalemedicine.org/conditions/menopause</t>
  </si>
  <si>
    <t>About a third of women don't have any symptoms. About half experience significant symptoms and another third have severe symptoms</t>
  </si>
  <si>
    <t>P(VTE|Rx)</t>
  </si>
  <si>
    <t>RX:</t>
  </si>
  <si>
    <t>Side-Effect</t>
  </si>
  <si>
    <t>https://www.ncbi.nlm.nih.gov/pmc/articles/PMC4333078/pdf/nihms644591.pdf</t>
  </si>
  <si>
    <t>(50% reduction in frequency: Table 2)</t>
  </si>
  <si>
    <t>R15</t>
  </si>
  <si>
    <t>Women from the general population considering COCs.</t>
  </si>
  <si>
    <t>The ASH guideline panel recommends not performing thrombophilia testing to  guide the use of COC and administering COC in all (strong recommendation based on low certainty in the evidence about effects).</t>
  </si>
  <si>
    <t>Women from the general population.</t>
  </si>
  <si>
    <t>combined oral contraceptives (COC)</t>
  </si>
  <si>
    <t>pregnancies</t>
  </si>
  <si>
    <t>R16a</t>
  </si>
  <si>
    <t>Women from the general population considering HRT (estrogen alone)</t>
  </si>
  <si>
    <t>The ASH guideline panel suggests not performing thrombophilia testing to guide the use of HRT and administering treatment to all (conditional recommendation based on low certainty in the evidence about effects).</t>
  </si>
  <si>
    <t>hormone replacement therapy (HRT) estrogen alone</t>
  </si>
  <si>
    <t>severe symptoms of the menopause</t>
  </si>
  <si>
    <t>https://www.cochranelibrary.com/cdsr/doi/10.1002/14651858.CD002978.pub2/full</t>
  </si>
  <si>
    <t>R16b</t>
  </si>
  <si>
    <t>Women from the general population considering HRT (combined)</t>
  </si>
  <si>
    <t>hormone replacement therapy (HRT) combined</t>
  </si>
  <si>
    <t>Combined</t>
  </si>
  <si>
    <t>OR</t>
  </si>
  <si>
    <t>R17</t>
  </si>
  <si>
    <t>Women with a family history of VTE and unknown thrombophilia status in the family who are considering using COCs.</t>
  </si>
  <si>
    <t>The ASH guideline panel suggests not testing for hereditary thrombophilia (using a panel of tests) to guide the use of COC  and administering COC to all (conditional recommendation based on very low certainty in the evidence about effects).</t>
  </si>
  <si>
    <t>Asymptomatic women with a family history of VTE (first or second degree) and unknown thrombophilia in the family.</t>
  </si>
  <si>
    <t>Prev</t>
  </si>
  <si>
    <t>R18a</t>
  </si>
  <si>
    <t>Women with a family history of VTE and unknown thrombophilia in the family who are considering using HRT estrogen alone.</t>
  </si>
  <si>
    <t>The ASH guideline panel suggests not performing thrombophilia testing for any hereditary thrombophilia to guide the use of HRT amd administering HRT in all (conditional recommendation based on very low certainty in the evidence about effects).</t>
  </si>
  <si>
    <t>RR</t>
  </si>
  <si>
    <t>R18b</t>
  </si>
  <si>
    <t>Women with a family history of VTE and unknown thrombophilia in the family who are considering using HRT combined.</t>
  </si>
  <si>
    <t>Estrogen</t>
  </si>
  <si>
    <t>R19a</t>
  </si>
  <si>
    <t>Women with a family history of VTE and known FVL in the family (low-risk thrombophilia) considering COCs.</t>
  </si>
  <si>
    <t>The ASH guideline panel suggests not testing for the known familial thrombophilia to guide the use of COC amd administering COC in all (conditional recommendation based on very low certainty in the evidence about effects).</t>
  </si>
  <si>
    <t>Asymptomatic women with a family history of VTE (first or second degree) and known thrombophilia in the family.</t>
  </si>
  <si>
    <t>Prevalence</t>
  </si>
  <si>
    <t>R19b</t>
  </si>
  <si>
    <t>Women with a family history of VTE and known  PGM in the family (low-risk thrombophilia) considering COCs.</t>
  </si>
  <si>
    <t>R19c</t>
  </si>
  <si>
    <t>Women with a family history of VTE and known antithrombin deficiency in the family (high-risk thrombophilia) considering COCs.</t>
  </si>
  <si>
    <t>The ASH guideline panel suggests testing for the known familial thrombophilia and avoidance of COCs for women with high-risk thrombophilia (conditional recommendation based on very low certainty in the evidence about effects).</t>
  </si>
  <si>
    <t>R19d</t>
  </si>
  <si>
    <t>Women with a family history of VTE and known protein C deficiency in the family (high-risk thrombophilia) considering COCs.</t>
  </si>
  <si>
    <t>R19e</t>
  </si>
  <si>
    <t>Women with a family history of VTE and known protein S deficiency in the family (high-risk thrombophilia) considering COCs.</t>
  </si>
  <si>
    <t>R20a</t>
  </si>
  <si>
    <t>Women with a family history of VTE and known FVL in the family (low-risk thrombophilia) who are considering using HRT estrogen alone.</t>
  </si>
  <si>
    <t>The ASH guideline panel suggests not testing for the known familial thrombophilia to guide the use of HRT amd administering HRT in all (conditional recommendation based on very low certainty in the evidence about effects).</t>
  </si>
  <si>
    <t>R20b</t>
  </si>
  <si>
    <t>Women with a family history of VTE and known FVL in the family (low-risk thrombophilia) who are considering using HRT combined.</t>
  </si>
  <si>
    <t>R20c</t>
  </si>
  <si>
    <t>Women with a family history of VTE and known  PGM in the family (low-risk thrombophilia) who are considering using HRT estrogen alone.</t>
  </si>
  <si>
    <t>R20d</t>
  </si>
  <si>
    <t>Women with a family history of VTE and known  PGM in the family (low-risk thrombophilia) who are considering using HRT combined.</t>
  </si>
  <si>
    <t>R20e</t>
  </si>
  <si>
    <t>Women with a family history of VTE and known antithrombin deficiency in the family (high-risk thrombophilia) who are considering using HRT estrogen alone.</t>
  </si>
  <si>
    <t>The ASH guideline panel suggests testing for the known familial thrombophilia and avoidance of HRT for women with high-risk thrombophilia (conditional recommendation based on very low certainty in the evidence about effects).</t>
  </si>
  <si>
    <t>R20f</t>
  </si>
  <si>
    <t>Women with a family history of VTE and known antithrombin deficiency in the family (high-risk thrombophilia) who are considering using HRT combined.</t>
  </si>
  <si>
    <t>R20g</t>
  </si>
  <si>
    <t>Women with a family history of VTE and known protein C deficiency in the family (high-risk thrombophilia) who are considering using HRT estrogen alone.</t>
  </si>
  <si>
    <t>R20h</t>
  </si>
  <si>
    <t>Women with a family history of VTE and known protein C deficiency in the family (high-risk thrombophilia) who are considering using HRT combined.</t>
  </si>
  <si>
    <t>R20i</t>
  </si>
  <si>
    <t>Women with a family history of VTE and known protein S deficiency in the family (high-risk thrombophilia) who are considering using HRT estrogen alone.</t>
  </si>
  <si>
    <t>R20j</t>
  </si>
  <si>
    <t>Women with a family history of VTE and known protein S deficiency in the family (high-risk thrombophilia) who are considering using HRT combined.</t>
  </si>
  <si>
    <t>action T</t>
  </si>
  <si>
    <t>ASH recommendations agreements (RV = 1 and Rgo = 5/1000)</t>
  </si>
  <si>
    <t>Cases</t>
  </si>
  <si>
    <t>Acceptable regret</t>
  </si>
  <si>
    <t>TOTAL</t>
  </si>
  <si>
    <t>Agree</t>
  </si>
  <si>
    <t>Disagree</t>
  </si>
  <si>
    <t>R1-R10</t>
  </si>
  <si>
    <t>R11-R14</t>
  </si>
  <si>
    <t>R15-R20</t>
  </si>
  <si>
    <t>R21-R23</t>
  </si>
  <si>
    <t>← [after correcting for illogical bleeding risk; see Comments R21-R22]</t>
  </si>
  <si>
    <t>n</t>
  </si>
  <si>
    <t>%</t>
  </si>
  <si>
    <t>ASH</t>
  </si>
  <si>
    <t>EUT agrees</t>
  </si>
  <si>
    <t>ARgT Agrees</t>
  </si>
  <si>
    <t>just for counting</t>
  </si>
  <si>
    <t>Rg</t>
  </si>
  <si>
    <t>R1 low</t>
  </si>
  <si>
    <t>R1 high</t>
  </si>
  <si>
    <t>R2 low</t>
  </si>
  <si>
    <t>R2 high</t>
  </si>
  <si>
    <t>R3 low</t>
  </si>
  <si>
    <t>R3 high</t>
  </si>
  <si>
    <t>R4 low</t>
  </si>
  <si>
    <t>R4 high</t>
  </si>
  <si>
    <t>R5 low</t>
  </si>
  <si>
    <t>R5 high</t>
  </si>
  <si>
    <t>R6 low</t>
  </si>
  <si>
    <t>R6 high</t>
  </si>
  <si>
    <t>R7 low</t>
  </si>
  <si>
    <t>R7 high</t>
  </si>
  <si>
    <t>R8 low</t>
  </si>
  <si>
    <t>R8 high</t>
  </si>
  <si>
    <t>R9 low</t>
  </si>
  <si>
    <t>R9 high</t>
  </si>
  <si>
    <t>R10 low</t>
  </si>
  <si>
    <t>R10 high</t>
  </si>
  <si>
    <t>Comments (why we changed the assumptions for R21 and R22 recommendations)</t>
  </si>
  <si>
    <t>R21-R22</t>
  </si>
  <si>
    <t>originally published threshold model applies to all recommendations with the following modifications:</t>
  </si>
  <si>
    <t>RRbleed was &lt;1. So that means that the risk of bleeding was LOWER on treatment than when NOT on treatment!</t>
  </si>
  <si>
    <t>R21</t>
  </si>
  <si>
    <t>For example, for FVL we have: (see item q in ASH summary data page)</t>
  </si>
  <si>
    <t>EtD's and Guidelines (gradepro.org)</t>
  </si>
  <si>
    <t>Based on the following estimates: Overall risk for Major bleeding of 6.34 per 1,000; Prevalence of same thrombophilia, 25%; Relative risk of Major bleeding with thromboprophylaxis versus no thromboprophylaxis, RR 0.34 (0.04-3.21). To calculate the range of effects of a testing strategy versus a strategy without testing: 1) for a 'largest possible' difference between a strategy with testing vs without testing we used the minimum Prevalence, and the largest treatment effect (upper CI); 2) for a 'smallest possible' difference between a strategy with testing vs without testing we used the maximum Prevalence, and the smallest treatment effect (lower CI).</t>
  </si>
  <si>
    <t>because R21 and R22 default values for bleeding that assumed</t>
  </si>
  <si>
    <r>
      <t xml:space="preserve">that treatment </t>
    </r>
    <r>
      <rPr>
        <b/>
        <sz val="11"/>
        <color theme="1"/>
        <rFont val="Aptos Narrow"/>
        <family val="2"/>
        <scheme val="minor"/>
      </rPr>
      <t>RRBleed&lt;1 was biologically implausible</t>
    </r>
    <r>
      <rPr>
        <sz val="11"/>
        <color theme="1"/>
        <rFont val="Aptos Narrow"/>
        <family val="2"/>
        <scheme val="minor"/>
      </rPr>
      <t>, we assumed  RRbleed&gt;1</t>
    </r>
  </si>
  <si>
    <t xml:space="preserve">(at upper bound of CI) </t>
  </si>
  <si>
    <t>https://doi.org/10.1182/bloodadvances.2023010177</t>
  </si>
  <si>
    <t>R22</t>
  </si>
  <si>
    <t>https://guidelines.ash.gradepro.org/profile/jcduC34LCPo</t>
  </si>
  <si>
    <t>Based on the following estimates: Overall risk for Major bleeding of 8.46 per 1,000; Prevalence of same thrombophilia, 25%; Relative risk of Major bleeding with thromboprophylaxis versus no thromboprophylaxis, RR 0.75 (0.17-3.38). To calculate the range of effects of a testing strategy versus a strategy without testing: 1) for a 'largest possible' difference between a strategy with testing vs without testing we used the minimum Prevalence, and the largest treatment effect (upper CI); 2) for a 'smallest possible' difference between a strategy with testing vs without testing we used the maximum Prevalence, and the smallest treatment effect (lower CI).</t>
  </si>
  <si>
    <t>We used these parameters for caclulations of expected utilities and expected regret.</t>
  </si>
  <si>
    <t>source:</t>
  </si>
  <si>
    <t>pregnancies or meno.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</si>
</sst>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00000"/>
    <numFmt numFmtId="167" formatCode="0.0"/>
    <numFmt numFmtId="168" formatCode="0.00000"/>
  </numFmts>
  <fonts count="45">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Calibri"/>
      <family val="2"/>
    </font>
    <font>
      <b/>
      <sz val="11"/>
      <color theme="1"/>
      <name val="Calibri"/>
      <family val="2"/>
    </font>
    <font>
      <b/>
      <vertAlign val="superscript"/>
      <sz val="11"/>
      <color theme="1"/>
      <name val="Aptos Narrow"/>
      <family val="2"/>
      <scheme val="minor"/>
    </font>
    <font>
      <u/>
      <sz val="11"/>
      <color theme="10"/>
      <name val="Aptos Narrow"/>
      <family val="2"/>
      <scheme val="minor"/>
    </font>
    <font>
      <sz val="10"/>
      <color theme="1"/>
      <name val="Aptos Narrow"/>
      <family val="2"/>
      <scheme val="minor"/>
    </font>
    <font>
      <u/>
      <sz val="10"/>
      <color theme="10"/>
      <name val="Aptos Narrow"/>
      <family val="2"/>
      <scheme val="minor"/>
    </font>
    <font>
      <b/>
      <sz val="14"/>
      <color rgb="FF1A1A1A"/>
      <name val="Arial"/>
      <family val="2"/>
    </font>
    <font>
      <sz val="8"/>
      <name val="Aptos Narrow"/>
      <family val="2"/>
      <scheme val="minor"/>
    </font>
    <font>
      <b/>
      <sz val="11"/>
      <color rgb="FFFF0000"/>
      <name val="Aptos Narrow"/>
      <family val="2"/>
      <scheme val="minor"/>
    </font>
    <font>
      <b/>
      <u/>
      <sz val="10"/>
      <color theme="1"/>
      <name val="Aptos Narrow"/>
      <family val="2"/>
      <scheme val="minor"/>
    </font>
    <font>
      <b/>
      <sz val="10"/>
      <color theme="1"/>
      <name val="Aptos Narrow"/>
      <family val="2"/>
      <scheme val="minor"/>
    </font>
    <font>
      <sz val="11"/>
      <color theme="1"/>
      <name val="Aptos"/>
      <family val="2"/>
    </font>
    <font>
      <sz val="11"/>
      <color rgb="FF000000"/>
      <name val="Arial Narrow"/>
      <family val="2"/>
    </font>
    <font>
      <b/>
      <sz val="11"/>
      <color rgb="FF1A1A1A"/>
      <name val="Arial"/>
      <family val="2"/>
    </font>
    <font>
      <sz val="11"/>
      <color rgb="FF1A1A1A"/>
      <name val="Arial"/>
      <family val="2"/>
    </font>
    <font>
      <vertAlign val="superscript"/>
      <sz val="11"/>
      <color theme="1"/>
      <name val="Aptos Narrow"/>
      <family val="2"/>
      <scheme val="minor"/>
    </font>
    <font>
      <b/>
      <u/>
      <sz val="20"/>
      <color theme="10"/>
      <name val="Aptos Narrow"/>
      <family val="2"/>
      <scheme val="minor"/>
    </font>
    <font>
      <b/>
      <u/>
      <sz val="11"/>
      <color theme="10"/>
      <name val="Arial"/>
      <family val="2"/>
    </font>
    <font>
      <i/>
      <sz val="11"/>
      <color rgb="FFFF0000"/>
      <name val="Arial"/>
      <family val="2"/>
    </font>
    <font>
      <sz val="11"/>
      <color rgb="FFFF0000"/>
      <name val="Arial"/>
      <family val="2"/>
    </font>
    <font>
      <sz val="11"/>
      <color rgb="FF1A1A1A"/>
      <name val="Calibri"/>
      <family val="2"/>
    </font>
    <font>
      <sz val="11"/>
      <color rgb="FF000000"/>
      <name val="Calibri"/>
      <family val="2"/>
    </font>
    <font>
      <sz val="11"/>
      <color rgb="FF242424"/>
      <name val="Calibri"/>
      <family val="2"/>
    </font>
    <font>
      <i/>
      <sz val="11"/>
      <color rgb="FF1A1A1A"/>
      <name val="Calibri"/>
      <family val="2"/>
    </font>
    <font>
      <b/>
      <sz val="11"/>
      <color rgb="FF000000"/>
      <name val="Calibri"/>
      <family val="2"/>
    </font>
    <font>
      <b/>
      <vertAlign val="subscrip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b/>
      <sz val="11"/>
      <color theme="1"/>
      <name val="Aptos"/>
      <family val="2"/>
    </font>
    <font>
      <u/>
      <sz val="11"/>
      <color theme="0"/>
      <name val="Aptos Narrow"/>
      <family val="2"/>
      <scheme val="minor"/>
    </font>
    <font>
      <sz val="12"/>
      <color theme="0"/>
      <name val="Times New Roman"/>
      <family val="1"/>
    </font>
    <font>
      <sz val="9"/>
      <color theme="0"/>
      <name val="Arial"/>
      <family val="2"/>
    </font>
    <font>
      <sz val="11"/>
      <color theme="0"/>
      <name val="Calibri"/>
      <family val="2"/>
    </font>
    <font>
      <vertAlign val="subscript"/>
      <sz val="11"/>
      <color theme="0"/>
      <name val="Aptos Narrow"/>
      <family val="2"/>
      <scheme val="minor"/>
    </font>
    <font>
      <b/>
      <sz val="9"/>
      <color theme="0"/>
      <name val="Arial"/>
      <family val="2"/>
    </font>
    <font>
      <b/>
      <sz val="11"/>
      <color theme="0"/>
      <name val="Calibri"/>
      <family val="2"/>
    </font>
    <font>
      <i/>
      <sz val="9"/>
      <color theme="0"/>
      <name val="Arial"/>
      <family val="2"/>
    </font>
    <font>
      <sz val="11"/>
      <color rgb="FF0070C0"/>
      <name val="Aptos Narrow"/>
      <family val="2"/>
      <scheme val="minor"/>
    </font>
    <font>
      <b/>
      <sz val="11"/>
      <color rgb="FF1A1A1A"/>
      <name val="Calibri"/>
      <family val="2"/>
    </font>
    <font>
      <sz val="11"/>
      <name val="Aptos Narrow"/>
      <family val="2"/>
      <scheme val="minor"/>
    </font>
    <font>
      <b/>
      <sz val="11"/>
      <name val="Aptos Narrow"/>
      <family val="2"/>
      <scheme val="minor"/>
    </font>
  </fonts>
  <fills count="12">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8F9FA"/>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8" tint="0.79998168889431442"/>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bottom/>
      <diagonal/>
    </border>
    <border>
      <left/>
      <right style="medium">
        <color rgb="FFFF0000"/>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6" fillId="0" borderId="0" applyNumberFormat="0" applyFill="0" applyBorder="0" applyAlignment="0" applyProtection="0"/>
    <xf numFmtId="9" fontId="29" fillId="0" borderId="0" applyFont="0" applyFill="0" applyBorder="0" applyAlignment="0" applyProtection="0"/>
  </cellStyleXfs>
  <cellXfs count="337">
    <xf numFmtId="0" fontId="0" fillId="0" borderId="0" xfId="0"/>
    <xf numFmtId="0" fontId="0" fillId="2" borderId="0" xfId="0" applyFill="1"/>
    <xf numFmtId="0" fontId="0" fillId="0" borderId="0" xfId="0" applyAlignment="1">
      <alignment horizontal="center"/>
    </xf>
    <xf numFmtId="0" fontId="0" fillId="0" borderId="3" xfId="0" applyBorder="1" applyAlignment="1">
      <alignment horizontal="center" vertical="center"/>
    </xf>
    <xf numFmtId="0" fontId="0" fillId="0" borderId="0" xfId="0" applyAlignment="1">
      <alignment horizontal="center" vertical="center"/>
    </xf>
    <xf numFmtId="0" fontId="0" fillId="0" borderId="5" xfId="0" applyBorder="1"/>
    <xf numFmtId="0" fontId="0" fillId="2" borderId="0" xfId="0" applyFill="1" applyAlignment="1">
      <alignment horizontal="center"/>
    </xf>
    <xf numFmtId="0" fontId="0" fillId="2" borderId="0" xfId="0" applyFill="1" applyAlignment="1">
      <alignment horizontal="center" vertical="center"/>
    </xf>
    <xf numFmtId="0" fontId="0" fillId="5" borderId="0" xfId="0" applyFill="1"/>
    <xf numFmtId="0" fontId="2" fillId="5" borderId="0" xfId="0" applyFont="1" applyFill="1"/>
    <xf numFmtId="0" fontId="0" fillId="5" borderId="0" xfId="0" applyFill="1" applyAlignment="1">
      <alignment horizontal="center" vertical="center"/>
    </xf>
    <xf numFmtId="2" fontId="0" fillId="5" borderId="0" xfId="0" applyNumberFormat="1" applyFill="1" applyAlignment="1">
      <alignment horizontal="center" vertical="center"/>
    </xf>
    <xf numFmtId="0" fontId="1" fillId="5" borderId="0" xfId="0" applyFont="1" applyFill="1" applyAlignment="1">
      <alignment horizontal="center" vertical="center"/>
    </xf>
    <xf numFmtId="0" fontId="1" fillId="5" borderId="0" xfId="0" applyFont="1" applyFill="1"/>
    <xf numFmtId="0" fontId="1" fillId="5" borderId="0" xfId="0" applyFont="1" applyFill="1" applyAlignment="1">
      <alignment horizontal="center"/>
    </xf>
    <xf numFmtId="0" fontId="0" fillId="0" borderId="0" xfId="0" applyAlignment="1">
      <alignment vertical="center"/>
    </xf>
    <xf numFmtId="0" fontId="2" fillId="5" borderId="0" xfId="0" applyFont="1" applyFill="1" applyAlignment="1">
      <alignment horizontal="left"/>
    </xf>
    <xf numFmtId="0" fontId="2" fillId="5" borderId="0" xfId="0" applyFont="1" applyFill="1" applyAlignment="1">
      <alignment vertical="center" wrapText="1"/>
    </xf>
    <xf numFmtId="0" fontId="7" fillId="5" borderId="0" xfId="0" applyFont="1" applyFill="1"/>
    <xf numFmtId="0" fontId="7" fillId="5" borderId="0" xfId="0" applyFont="1" applyFill="1" applyAlignment="1">
      <alignment vertical="center"/>
    </xf>
    <xf numFmtId="0" fontId="7" fillId="5" borderId="0" xfId="0" applyFont="1" applyFill="1" applyAlignment="1">
      <alignment vertical="center" wrapText="1"/>
    </xf>
    <xf numFmtId="0" fontId="7" fillId="5" borderId="0" xfId="0" applyFont="1" applyFill="1" applyAlignment="1">
      <alignment horizontal="left"/>
    </xf>
    <xf numFmtId="0" fontId="0" fillId="0" borderId="4" xfId="0" applyBorder="1" applyAlignment="1">
      <alignment horizontal="center" vertical="center"/>
    </xf>
    <xf numFmtId="0" fontId="0" fillId="0" borderId="23" xfId="0" applyBorder="1" applyAlignment="1">
      <alignment horizontal="center" vertical="center"/>
    </xf>
    <xf numFmtId="0" fontId="1" fillId="0" borderId="0" xfId="0" applyFont="1"/>
    <xf numFmtId="0" fontId="1" fillId="5" borderId="10" xfId="0" applyFont="1" applyFill="1" applyBorder="1" applyAlignment="1">
      <alignment horizontal="center" vertical="center"/>
    </xf>
    <xf numFmtId="0" fontId="1" fillId="5" borderId="14" xfId="0" applyFont="1" applyFill="1" applyBorder="1" applyAlignment="1">
      <alignment horizontal="center" vertical="center"/>
    </xf>
    <xf numFmtId="0" fontId="0" fillId="0" borderId="0" xfId="0" applyAlignment="1">
      <alignment horizontal="left"/>
    </xf>
    <xf numFmtId="0" fontId="1" fillId="0" borderId="0" xfId="0" applyFont="1" applyAlignment="1">
      <alignment horizontal="center"/>
    </xf>
    <xf numFmtId="0" fontId="1" fillId="5" borderId="0" xfId="0" applyFont="1" applyFill="1" applyAlignment="1">
      <alignment horizontal="right"/>
    </xf>
    <xf numFmtId="0" fontId="1" fillId="5" borderId="9" xfId="0" applyFont="1" applyFill="1" applyBorder="1"/>
    <xf numFmtId="0" fontId="1" fillId="5" borderId="10" xfId="0" applyFont="1" applyFill="1" applyBorder="1"/>
    <xf numFmtId="0" fontId="0" fillId="5" borderId="10" xfId="0" applyFill="1" applyBorder="1"/>
    <xf numFmtId="0" fontId="1" fillId="5" borderId="10" xfId="0" applyFont="1" applyFill="1" applyBorder="1" applyAlignment="1">
      <alignment horizontal="center"/>
    </xf>
    <xf numFmtId="0" fontId="0" fillId="5" borderId="10" xfId="0" applyFill="1" applyBorder="1" applyAlignment="1">
      <alignment horizontal="center" vertical="center"/>
    </xf>
    <xf numFmtId="0" fontId="0" fillId="5" borderId="11" xfId="0" applyFill="1" applyBorder="1"/>
    <xf numFmtId="0" fontId="1" fillId="5" borderId="8" xfId="0" applyFont="1" applyFill="1" applyBorder="1"/>
    <xf numFmtId="0" fontId="0" fillId="5" borderId="12" xfId="0" applyFill="1" applyBorder="1"/>
    <xf numFmtId="0" fontId="1" fillId="5" borderId="13" xfId="0" applyFont="1" applyFill="1" applyBorder="1"/>
    <xf numFmtId="0" fontId="1" fillId="5" borderId="14" xfId="0" applyFont="1" applyFill="1" applyBorder="1"/>
    <xf numFmtId="0" fontId="0" fillId="5" borderId="14" xfId="0" applyFill="1" applyBorder="1"/>
    <xf numFmtId="0" fontId="1" fillId="5" borderId="14" xfId="0" applyFont="1"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1" fillId="5" borderId="0" xfId="0" applyFont="1" applyFill="1" applyAlignment="1">
      <alignment horizontal="left"/>
    </xf>
    <xf numFmtId="0" fontId="1" fillId="5" borderId="10" xfId="0" applyFont="1" applyFill="1" applyBorder="1" applyAlignment="1">
      <alignment horizontal="left" vertical="center"/>
    </xf>
    <xf numFmtId="0" fontId="1" fillId="5" borderId="0" xfId="0" applyFont="1" applyFill="1" applyAlignment="1">
      <alignment horizontal="left" vertical="center"/>
    </xf>
    <xf numFmtId="0" fontId="1" fillId="5" borderId="14" xfId="0" applyFont="1" applyFill="1" applyBorder="1" applyAlignment="1">
      <alignment horizontal="left" vertical="center"/>
    </xf>
    <xf numFmtId="0" fontId="6" fillId="0" borderId="0" xfId="1"/>
    <xf numFmtId="0" fontId="13" fillId="5" borderId="0" xfId="0" applyFont="1" applyFill="1" applyAlignment="1">
      <alignment vertical="center"/>
    </xf>
    <xf numFmtId="0" fontId="12" fillId="5" borderId="0" xfId="0" applyFont="1" applyFill="1" applyAlignment="1">
      <alignment vertical="center"/>
    </xf>
    <xf numFmtId="0" fontId="0" fillId="4" borderId="0" xfId="0" applyFill="1"/>
    <xf numFmtId="0" fontId="14" fillId="0" borderId="0" xfId="0" applyFont="1" applyAlignment="1">
      <alignment vertical="center"/>
    </xf>
    <xf numFmtId="0" fontId="0" fillId="0" borderId="0" xfId="0" applyAlignment="1">
      <alignment wrapText="1"/>
    </xf>
    <xf numFmtId="0" fontId="0" fillId="0" borderId="5" xfId="0" applyBorder="1" applyAlignment="1">
      <alignment vertical="center"/>
    </xf>
    <xf numFmtId="0" fontId="0" fillId="5" borderId="0" xfId="0" applyFill="1" applyAlignment="1">
      <alignment vertical="center"/>
    </xf>
    <xf numFmtId="0" fontId="1" fillId="5" borderId="0" xfId="0" applyFont="1" applyFill="1" applyAlignment="1">
      <alignment vertical="center"/>
    </xf>
    <xf numFmtId="0" fontId="2" fillId="2" borderId="0" xfId="0" applyFont="1" applyFill="1"/>
    <xf numFmtId="0" fontId="7" fillId="2" borderId="0" xfId="0" applyFont="1" applyFill="1"/>
    <xf numFmtId="0" fontId="0" fillId="2" borderId="0" xfId="0" applyFill="1" applyAlignment="1">
      <alignment vertical="center"/>
    </xf>
    <xf numFmtId="0" fontId="0" fillId="4" borderId="0" xfId="0" applyFill="1" applyAlignment="1">
      <alignment wrapText="1"/>
    </xf>
    <xf numFmtId="0" fontId="0" fillId="0" borderId="0" xfId="0" applyAlignment="1">
      <alignment vertical="center" wrapText="1"/>
    </xf>
    <xf numFmtId="0" fontId="0" fillId="4" borderId="0" xfId="0" applyFill="1" applyAlignment="1">
      <alignment horizontal="left" vertical="center" wrapText="1"/>
    </xf>
    <xf numFmtId="0" fontId="0" fillId="4" borderId="0" xfId="0" applyFill="1" applyAlignment="1">
      <alignment vertical="center" wrapText="1"/>
    </xf>
    <xf numFmtId="0" fontId="1" fillId="0" borderId="0" xfId="0" applyFont="1" applyAlignment="1">
      <alignment vertical="center" wrapText="1"/>
    </xf>
    <xf numFmtId="0" fontId="17" fillId="4" borderId="5" xfId="0" applyFont="1" applyFill="1" applyBorder="1" applyAlignment="1">
      <alignment horizontal="left" vertical="top" wrapText="1"/>
    </xf>
    <xf numFmtId="0" fontId="17" fillId="7" borderId="5" xfId="0" applyFont="1" applyFill="1" applyBorder="1" applyAlignment="1">
      <alignment horizontal="left" vertical="top" wrapText="1"/>
    </xf>
    <xf numFmtId="0" fontId="17" fillId="4" borderId="5" xfId="0" applyFont="1" applyFill="1" applyBorder="1" applyAlignment="1">
      <alignment horizontal="left" vertical="center" wrapText="1"/>
    </xf>
    <xf numFmtId="0" fontId="20" fillId="4" borderId="3" xfId="1" applyFont="1" applyFill="1" applyBorder="1" applyAlignment="1">
      <alignment horizontal="center" vertical="top" wrapText="1"/>
    </xf>
    <xf numFmtId="0" fontId="17" fillId="4" borderId="4" xfId="0" applyFont="1" applyFill="1" applyBorder="1" applyAlignment="1">
      <alignment horizontal="left" vertical="top" wrapText="1"/>
    </xf>
    <xf numFmtId="0" fontId="20" fillId="7" borderId="3" xfId="1" applyFont="1" applyFill="1" applyBorder="1" applyAlignment="1">
      <alignment horizontal="center" vertical="top" wrapText="1"/>
    </xf>
    <xf numFmtId="0" fontId="17" fillId="7" borderId="4" xfId="0" applyFont="1" applyFill="1" applyBorder="1" applyAlignment="1">
      <alignment horizontal="left" vertical="top" wrapText="1"/>
    </xf>
    <xf numFmtId="0" fontId="20" fillId="7" borderId="3" xfId="1" applyFont="1" applyFill="1" applyBorder="1" applyAlignment="1">
      <alignment horizontal="center" vertical="center" wrapText="1"/>
    </xf>
    <xf numFmtId="0" fontId="20" fillId="4" borderId="3" xfId="1" applyFont="1" applyFill="1" applyBorder="1" applyAlignment="1">
      <alignment horizontal="center" vertical="center" wrapText="1"/>
    </xf>
    <xf numFmtId="0" fontId="17" fillId="4" borderId="4" xfId="0" applyFont="1" applyFill="1" applyBorder="1" applyAlignment="1">
      <alignment horizontal="left" vertical="center" wrapText="1"/>
    </xf>
    <xf numFmtId="0" fontId="20" fillId="7" borderId="6" xfId="1" applyFont="1" applyFill="1" applyBorder="1" applyAlignment="1">
      <alignment horizontal="center" vertical="center" wrapText="1"/>
    </xf>
    <xf numFmtId="0" fontId="17" fillId="7" borderId="22" xfId="0" applyFont="1" applyFill="1" applyBorder="1" applyAlignment="1">
      <alignment horizontal="left" vertical="top" wrapText="1"/>
    </xf>
    <xf numFmtId="0" fontId="17" fillId="7" borderId="23" xfId="0" applyFont="1" applyFill="1" applyBorder="1" applyAlignment="1">
      <alignment horizontal="left" vertical="top" wrapText="1"/>
    </xf>
    <xf numFmtId="0" fontId="20" fillId="7" borderId="30" xfId="1" applyFont="1" applyFill="1" applyBorder="1" applyAlignment="1">
      <alignment horizontal="center" vertical="center" wrapText="1"/>
    </xf>
    <xf numFmtId="0" fontId="17" fillId="7" borderId="7" xfId="0" applyFont="1" applyFill="1" applyBorder="1" applyAlignment="1">
      <alignment horizontal="left" vertical="center" wrapText="1"/>
    </xf>
    <xf numFmtId="0" fontId="17" fillId="7" borderId="33" xfId="0" applyFont="1" applyFill="1" applyBorder="1" applyAlignment="1">
      <alignment horizontal="left" vertical="center" wrapText="1"/>
    </xf>
    <xf numFmtId="0" fontId="17" fillId="7" borderId="7" xfId="0" applyFont="1" applyFill="1" applyBorder="1" applyAlignment="1">
      <alignment horizontal="left" vertical="top" wrapText="1"/>
    </xf>
    <xf numFmtId="0" fontId="17" fillId="7" borderId="33" xfId="0" applyFont="1" applyFill="1" applyBorder="1" applyAlignment="1">
      <alignment horizontal="left" vertical="top" wrapText="1"/>
    </xf>
    <xf numFmtId="0" fontId="16" fillId="8" borderId="24" xfId="0" applyFont="1" applyFill="1" applyBorder="1" applyAlignment="1">
      <alignment horizontal="left" vertical="center" wrapText="1"/>
    </xf>
    <xf numFmtId="0" fontId="16" fillId="8" borderId="25" xfId="0" applyFont="1" applyFill="1" applyBorder="1" applyAlignment="1">
      <alignment horizontal="left" vertical="center" wrapText="1"/>
    </xf>
    <xf numFmtId="0" fontId="16" fillId="8" borderId="26" xfId="0" applyFont="1" applyFill="1" applyBorder="1" applyAlignment="1">
      <alignment horizontal="left" vertical="center" wrapText="1"/>
    </xf>
    <xf numFmtId="0" fontId="1" fillId="5" borderId="25" xfId="0" applyFont="1" applyFill="1" applyBorder="1"/>
    <xf numFmtId="0" fontId="1" fillId="5" borderId="25" xfId="0" applyFont="1" applyFill="1" applyBorder="1" applyAlignment="1">
      <alignment horizontal="center" vertical="center"/>
    </xf>
    <xf numFmtId="0" fontId="0" fillId="5" borderId="25" xfId="0" applyFill="1" applyBorder="1" applyAlignment="1">
      <alignment horizontal="center" vertical="center"/>
    </xf>
    <xf numFmtId="0" fontId="0" fillId="5" borderId="25" xfId="0" applyFill="1" applyBorder="1"/>
    <xf numFmtId="0" fontId="0" fillId="5" borderId="26" xfId="0" applyFill="1" applyBorder="1"/>
    <xf numFmtId="0" fontId="24" fillId="5" borderId="0" xfId="0" applyFont="1" applyFill="1" applyAlignment="1">
      <alignment vertical="center"/>
    </xf>
    <xf numFmtId="0" fontId="3" fillId="5" borderId="8" xfId="0" applyFont="1" applyFill="1" applyBorder="1" applyAlignment="1">
      <alignment vertical="center"/>
    </xf>
    <xf numFmtId="167" fontId="0" fillId="0" borderId="0" xfId="0" applyNumberFormat="1"/>
    <xf numFmtId="167" fontId="0" fillId="0" borderId="0" xfId="0" applyNumberFormat="1" applyAlignment="1">
      <alignment horizontal="center"/>
    </xf>
    <xf numFmtId="0" fontId="8" fillId="0" borderId="0" xfId="1" applyFont="1"/>
    <xf numFmtId="0" fontId="6" fillId="5" borderId="0" xfId="1" applyFill="1" applyAlignment="1">
      <alignment horizontal="left"/>
    </xf>
    <xf numFmtId="0" fontId="0" fillId="0" borderId="6" xfId="0" applyBorder="1" applyAlignment="1">
      <alignment horizontal="center" vertical="center"/>
    </xf>
    <xf numFmtId="0" fontId="32" fillId="0" borderId="0" xfId="0" applyFont="1" applyAlignment="1">
      <alignment vertical="center"/>
    </xf>
    <xf numFmtId="0" fontId="1" fillId="0" borderId="0" xfId="0" applyFont="1" applyAlignment="1">
      <alignment horizontal="left"/>
    </xf>
    <xf numFmtId="0" fontId="0" fillId="0" borderId="44" xfId="0" applyBorder="1"/>
    <xf numFmtId="0" fontId="0" fillId="0" borderId="45" xfId="0" applyBorder="1" applyAlignment="1">
      <alignment horizontal="left"/>
    </xf>
    <xf numFmtId="0" fontId="0" fillId="0" borderId="46" xfId="0" applyBorder="1"/>
    <xf numFmtId="0" fontId="0" fillId="0" borderId="47" xfId="0" applyBorder="1"/>
    <xf numFmtId="0" fontId="0" fillId="0" borderId="45" xfId="0" applyBorder="1"/>
    <xf numFmtId="0" fontId="0" fillId="4" borderId="0" xfId="0" applyFill="1" applyAlignment="1">
      <alignment horizontal="left"/>
    </xf>
    <xf numFmtId="0" fontId="0" fillId="4" borderId="0" xfId="0" applyFill="1" applyAlignment="1">
      <alignment horizontal="center"/>
    </xf>
    <xf numFmtId="0" fontId="0" fillId="4" borderId="29" xfId="0" applyFill="1" applyBorder="1" applyAlignment="1">
      <alignment horizontal="left" vertical="center"/>
    </xf>
    <xf numFmtId="0" fontId="0" fillId="10" borderId="0" xfId="0" applyFill="1" applyAlignment="1">
      <alignment horizontal="left"/>
    </xf>
    <xf numFmtId="0" fontId="0" fillId="10" borderId="0" xfId="0" applyFill="1" applyAlignment="1">
      <alignment horizontal="center"/>
    </xf>
    <xf numFmtId="0" fontId="0" fillId="10" borderId="0" xfId="0" applyFill="1"/>
    <xf numFmtId="0" fontId="0" fillId="6" borderId="0" xfId="0" applyFill="1" applyAlignment="1">
      <alignment horizontal="left"/>
    </xf>
    <xf numFmtId="0" fontId="0" fillId="6" borderId="0" xfId="0" applyFill="1" applyAlignment="1">
      <alignment horizontal="center"/>
    </xf>
    <xf numFmtId="0" fontId="0" fillId="6" borderId="0" xfId="0" applyFill="1"/>
    <xf numFmtId="0" fontId="0" fillId="11" borderId="0" xfId="0" applyFill="1" applyAlignment="1">
      <alignment horizontal="left"/>
    </xf>
    <xf numFmtId="0" fontId="0" fillId="11" borderId="0" xfId="0" applyFill="1" applyAlignment="1">
      <alignment horizontal="center"/>
    </xf>
    <xf numFmtId="0" fontId="0" fillId="11" borderId="0" xfId="0" applyFill="1"/>
    <xf numFmtId="0" fontId="0" fillId="0" borderId="34" xfId="0" applyBorder="1" applyAlignment="1">
      <alignment horizontal="center" vertical="center"/>
    </xf>
    <xf numFmtId="0" fontId="0" fillId="0" borderId="3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xf>
    <xf numFmtId="0" fontId="0" fillId="0" borderId="32" xfId="0" applyBorder="1" applyAlignment="1">
      <alignment horizontal="center"/>
    </xf>
    <xf numFmtId="0" fontId="0" fillId="0" borderId="6" xfId="0" applyBorder="1" applyAlignment="1">
      <alignment horizontal="center"/>
    </xf>
    <xf numFmtId="10" fontId="1" fillId="0" borderId="22" xfId="2" applyNumberFormat="1" applyFont="1" applyBorder="1" applyAlignment="1">
      <alignment horizontal="center"/>
    </xf>
    <xf numFmtId="0" fontId="0" fillId="0" borderId="23" xfId="0" applyBorder="1" applyAlignment="1">
      <alignment horizontal="center"/>
    </xf>
    <xf numFmtId="0" fontId="0" fillId="3" borderId="5" xfId="0" applyFill="1" applyBorder="1" applyAlignment="1" applyProtection="1">
      <alignment horizontal="center" vertical="center"/>
      <protection locked="0"/>
    </xf>
    <xf numFmtId="0" fontId="31" fillId="5" borderId="0" xfId="0" applyFont="1" applyFill="1"/>
    <xf numFmtId="0" fontId="31" fillId="5" borderId="0" xfId="0" applyFont="1" applyFill="1" applyAlignment="1">
      <alignment horizontal="center"/>
    </xf>
    <xf numFmtId="0" fontId="31" fillId="5" borderId="0" xfId="0"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left"/>
    </xf>
    <xf numFmtId="165" fontId="31" fillId="5" borderId="0" xfId="0" applyNumberFormat="1" applyFont="1" applyFill="1" applyAlignment="1">
      <alignment horizontal="center"/>
    </xf>
    <xf numFmtId="0" fontId="33" fillId="5" borderId="0" xfId="1" applyFont="1" applyFill="1" applyBorder="1"/>
    <xf numFmtId="2" fontId="31" fillId="5" borderId="0" xfId="0" applyNumberFormat="1" applyFont="1" applyFill="1" applyAlignment="1">
      <alignment horizontal="center" vertical="center"/>
    </xf>
    <xf numFmtId="0" fontId="30" fillId="5" borderId="0" xfId="0" applyFont="1" applyFill="1" applyAlignment="1">
      <alignment horizontal="center"/>
    </xf>
    <xf numFmtId="0" fontId="30" fillId="5" borderId="0" xfId="0" applyFont="1" applyFill="1"/>
    <xf numFmtId="0" fontId="34" fillId="5" borderId="0" xfId="0" applyFont="1" applyFill="1"/>
    <xf numFmtId="165" fontId="31" fillId="5" borderId="0" xfId="0" applyNumberFormat="1" applyFont="1" applyFill="1"/>
    <xf numFmtId="166" fontId="31" fillId="5" borderId="0" xfId="0" applyNumberFormat="1" applyFont="1" applyFill="1"/>
    <xf numFmtId="0" fontId="35" fillId="5" borderId="0" xfId="0" applyFont="1" applyFill="1"/>
    <xf numFmtId="0" fontId="36" fillId="5" borderId="0" xfId="0" applyFont="1" applyFill="1"/>
    <xf numFmtId="0" fontId="33" fillId="5" borderId="0" xfId="1" applyFont="1" applyFill="1" applyBorder="1" applyAlignment="1">
      <alignment vertical="center"/>
    </xf>
    <xf numFmtId="2" fontId="31" fillId="5" borderId="0" xfId="0" applyNumberFormat="1" applyFont="1" applyFill="1" applyAlignment="1">
      <alignment horizontal="left" vertical="center"/>
    </xf>
    <xf numFmtId="2" fontId="31" fillId="5" borderId="0" xfId="0" applyNumberFormat="1" applyFont="1" applyFill="1"/>
    <xf numFmtId="2" fontId="30" fillId="5" borderId="0" xfId="0" applyNumberFormat="1" applyFont="1" applyFill="1" applyAlignment="1">
      <alignment horizontal="center"/>
    </xf>
    <xf numFmtId="164" fontId="31" fillId="5" borderId="0" xfId="0" applyNumberFormat="1" applyFont="1" applyFill="1"/>
    <xf numFmtId="2" fontId="31" fillId="5" borderId="0" xfId="0" applyNumberFormat="1" applyFont="1" applyFill="1" applyAlignment="1">
      <alignment horizontal="center"/>
    </xf>
    <xf numFmtId="167" fontId="31" fillId="5" borderId="0" xfId="0" applyNumberFormat="1" applyFont="1" applyFill="1" applyAlignment="1">
      <alignment horizontal="center"/>
    </xf>
    <xf numFmtId="167" fontId="31" fillId="5" borderId="0" xfId="0" applyNumberFormat="1" applyFont="1" applyFill="1"/>
    <xf numFmtId="168" fontId="31" fillId="5" borderId="0" xfId="0" applyNumberFormat="1" applyFont="1" applyFill="1"/>
    <xf numFmtId="164" fontId="31" fillId="5" borderId="0" xfId="0" applyNumberFormat="1" applyFont="1" applyFill="1" applyAlignment="1">
      <alignment horizontal="center" vertical="center"/>
    </xf>
    <xf numFmtId="164" fontId="31" fillId="5" borderId="0" xfId="0" applyNumberFormat="1" applyFont="1" applyFill="1" applyAlignment="1">
      <alignment horizontal="center"/>
    </xf>
    <xf numFmtId="0" fontId="38" fillId="5" borderId="0" xfId="0" applyFont="1" applyFill="1"/>
    <xf numFmtId="168" fontId="31" fillId="5" borderId="0" xfId="0" applyNumberFormat="1" applyFont="1" applyFill="1" applyAlignment="1">
      <alignment horizontal="center"/>
    </xf>
    <xf numFmtId="0" fontId="39" fillId="5" borderId="0" xfId="0" applyFont="1" applyFill="1"/>
    <xf numFmtId="0" fontId="40" fillId="5" borderId="0" xfId="0" applyFont="1" applyFill="1"/>
    <xf numFmtId="0" fontId="31" fillId="5" borderId="0" xfId="0" applyFont="1" applyFill="1" applyAlignment="1">
      <alignment horizontal="right"/>
    </xf>
    <xf numFmtId="0" fontId="30" fillId="5" borderId="0" xfId="0" applyFont="1" applyFill="1" applyAlignment="1">
      <alignment horizontal="center" vertical="center"/>
    </xf>
    <xf numFmtId="167" fontId="31" fillId="5" borderId="0" xfId="0" applyNumberFormat="1" applyFont="1" applyFill="1" applyAlignment="1">
      <alignment horizontal="center" vertical="center"/>
    </xf>
    <xf numFmtId="0" fontId="0" fillId="5" borderId="0" xfId="0" applyFill="1" applyAlignment="1">
      <alignment vertical="center" wrapText="1"/>
    </xf>
    <xf numFmtId="0" fontId="0" fillId="5" borderId="0" xfId="0" applyFill="1" applyAlignment="1">
      <alignment horizontal="left" vertical="center" wrapText="1"/>
    </xf>
    <xf numFmtId="0" fontId="0" fillId="5" borderId="12" xfId="0" applyFill="1" applyBorder="1" applyAlignment="1">
      <alignment horizontal="left" vertical="center" wrapText="1"/>
    </xf>
    <xf numFmtId="0" fontId="0" fillId="5" borderId="12" xfId="0" applyFill="1" applyBorder="1" applyAlignment="1">
      <alignment vertical="center" wrapText="1"/>
    </xf>
    <xf numFmtId="0" fontId="0" fillId="5" borderId="8" xfId="0" applyFill="1" applyBorder="1" applyAlignment="1">
      <alignment horizontal="left" vertical="center"/>
    </xf>
    <xf numFmtId="0" fontId="0" fillId="5" borderId="8" xfId="0" applyFill="1" applyBorder="1" applyAlignment="1">
      <alignment vertical="center"/>
    </xf>
    <xf numFmtId="0" fontId="0" fillId="5" borderId="12" xfId="0" applyFill="1" applyBorder="1" applyAlignment="1">
      <alignment vertical="center"/>
    </xf>
    <xf numFmtId="0" fontId="0" fillId="5" borderId="0" xfId="0" applyFill="1" applyAlignment="1">
      <alignment horizontal="left" vertical="center"/>
    </xf>
    <xf numFmtId="0" fontId="0" fillId="5" borderId="12" xfId="0" applyFill="1" applyBorder="1" applyAlignment="1">
      <alignment horizontal="left" vertical="center"/>
    </xf>
    <xf numFmtId="0" fontId="6" fillId="5" borderId="0" xfId="1" applyFill="1" applyAlignment="1">
      <alignment horizontal="left" vertical="center"/>
    </xf>
    <xf numFmtId="0" fontId="3" fillId="0" borderId="0" xfId="0" applyFont="1" applyAlignment="1">
      <alignment vertical="center"/>
    </xf>
    <xf numFmtId="0" fontId="0" fillId="5" borderId="13" xfId="0" applyFill="1" applyBorder="1" applyAlignment="1">
      <alignment vertical="center"/>
    </xf>
    <xf numFmtId="0" fontId="0" fillId="5" borderId="14" xfId="0" applyFill="1" applyBorder="1" applyAlignment="1">
      <alignment vertical="center"/>
    </xf>
    <xf numFmtId="0" fontId="0" fillId="5" borderId="15" xfId="0" applyFill="1" applyBorder="1" applyAlignment="1">
      <alignment vertical="center"/>
    </xf>
    <xf numFmtId="0" fontId="23" fillId="5" borderId="0" xfId="0" applyFont="1" applyFill="1" applyAlignment="1">
      <alignment vertical="center" wrapText="1"/>
    </xf>
    <xf numFmtId="0" fontId="4" fillId="5" borderId="0" xfId="0" applyFont="1" applyFill="1" applyAlignment="1">
      <alignment vertical="center"/>
    </xf>
    <xf numFmtId="0" fontId="6" fillId="0" borderId="0" xfId="1" applyAlignment="1">
      <alignment vertical="center"/>
    </xf>
    <xf numFmtId="0" fontId="0" fillId="5" borderId="8" xfId="0" applyFill="1" applyBorder="1"/>
    <xf numFmtId="0" fontId="43" fillId="5" borderId="0" xfId="0" applyFont="1" applyFill="1" applyAlignment="1">
      <alignment horizontal="center"/>
    </xf>
    <xf numFmtId="0" fontId="43" fillId="5" borderId="0" xfId="0" applyFont="1" applyFill="1" applyAlignment="1">
      <alignment horizontal="center" vertical="center"/>
    </xf>
    <xf numFmtId="165" fontId="43" fillId="5" borderId="0" xfId="0" applyNumberFormat="1" applyFont="1" applyFill="1" applyAlignment="1">
      <alignment horizontal="center"/>
    </xf>
    <xf numFmtId="0" fontId="44" fillId="5" borderId="0" xfId="0" applyFont="1" applyFill="1" applyAlignment="1">
      <alignment horizontal="center"/>
    </xf>
    <xf numFmtId="0" fontId="43" fillId="2" borderId="0" xfId="0" applyFont="1" applyFill="1"/>
    <xf numFmtId="0" fontId="43" fillId="0" borderId="0" xfId="0" applyFont="1"/>
    <xf numFmtId="0" fontId="43" fillId="0" borderId="0" xfId="0" applyFont="1" applyAlignment="1">
      <alignment horizontal="center"/>
    </xf>
    <xf numFmtId="0" fontId="43" fillId="0" borderId="0" xfId="0" applyFont="1" applyAlignment="1">
      <alignment horizontal="center" vertical="center"/>
    </xf>
    <xf numFmtId="0" fontId="43" fillId="5" borderId="0" xfId="0" applyFont="1" applyFill="1" applyAlignment="1">
      <alignmen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8" xfId="0" applyFont="1" applyFill="1" applyBorder="1" applyAlignment="1">
      <alignment horizontal="left" vertical="center"/>
    </xf>
    <xf numFmtId="0" fontId="2" fillId="5" borderId="0" xfId="0" applyFont="1" applyFill="1" applyAlignment="1">
      <alignment horizontal="left" vertical="center"/>
    </xf>
    <xf numFmtId="0" fontId="2"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0" xfId="0" applyFont="1" applyFill="1" applyAlignment="1">
      <alignment horizontal="left" vertical="center"/>
    </xf>
    <xf numFmtId="0" fontId="1" fillId="5" borderId="12" xfId="0" applyFont="1" applyFill="1" applyBorder="1" applyAlignment="1">
      <alignment horizontal="left" vertical="center"/>
    </xf>
    <xf numFmtId="0" fontId="0" fillId="5" borderId="8" xfId="0" applyFill="1" applyBorder="1" applyAlignment="1">
      <alignment horizontal="left" vertical="center" wrapText="1"/>
    </xf>
    <xf numFmtId="0" fontId="0" fillId="5" borderId="0" xfId="0" applyFill="1" applyAlignment="1">
      <alignment horizontal="left" vertical="center" wrapText="1"/>
    </xf>
    <xf numFmtId="0" fontId="0" fillId="5" borderId="12" xfId="0" applyFill="1" applyBorder="1" applyAlignment="1">
      <alignment horizontal="left" vertical="center" wrapText="1"/>
    </xf>
    <xf numFmtId="0" fontId="6" fillId="5" borderId="0" xfId="1" applyFill="1" applyBorder="1" applyAlignment="1">
      <alignment horizontal="center" vertical="center"/>
    </xf>
    <xf numFmtId="0" fontId="23" fillId="5" borderId="0" xfId="0" applyFont="1" applyFill="1" applyAlignment="1">
      <alignment horizontal="left" vertical="center" wrapText="1"/>
    </xf>
    <xf numFmtId="0" fontId="23" fillId="0" borderId="0" xfId="0" applyFont="1" applyAlignment="1">
      <alignment horizontal="left" vertical="center" wrapText="1"/>
    </xf>
    <xf numFmtId="0" fontId="3" fillId="5" borderId="8"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26" fillId="9" borderId="9" xfId="0" applyFont="1" applyFill="1" applyBorder="1" applyAlignment="1">
      <alignment horizontal="left" vertical="center"/>
    </xf>
    <xf numFmtId="0" fontId="26" fillId="9" borderId="10" xfId="0" applyFont="1" applyFill="1" applyBorder="1" applyAlignment="1">
      <alignment horizontal="left" vertical="center"/>
    </xf>
    <xf numFmtId="0" fontId="26" fillId="9" borderId="11" xfId="0" applyFont="1" applyFill="1" applyBorder="1" applyAlignment="1">
      <alignment horizontal="left" vertical="center"/>
    </xf>
    <xf numFmtId="0" fontId="23" fillId="5" borderId="8"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4" fillId="5" borderId="0" xfId="0" applyFont="1" applyFill="1" applyAlignment="1">
      <alignment horizontal="left" vertical="center" wrapText="1"/>
    </xf>
    <xf numFmtId="0" fontId="24" fillId="5" borderId="12"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4" fillId="5" borderId="14" xfId="0" applyFont="1" applyFill="1" applyBorder="1" applyAlignment="1">
      <alignment horizontal="left" vertical="center" wrapText="1"/>
    </xf>
    <xf numFmtId="0" fontId="24" fillId="5" borderId="15"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9" borderId="9" xfId="0" applyFont="1" applyFill="1" applyBorder="1" applyAlignment="1">
      <alignment horizontal="left" wrapText="1"/>
    </xf>
    <xf numFmtId="0" fontId="3" fillId="9" borderId="10" xfId="0" applyFont="1" applyFill="1" applyBorder="1" applyAlignment="1">
      <alignment horizontal="left" wrapText="1"/>
    </xf>
    <xf numFmtId="0" fontId="3" fillId="9" borderId="11" xfId="0" applyFont="1" applyFill="1" applyBorder="1" applyAlignment="1">
      <alignment horizontal="left" wrapText="1"/>
    </xf>
    <xf numFmtId="0" fontId="3" fillId="9" borderId="13" xfId="0" applyFont="1" applyFill="1" applyBorder="1" applyAlignment="1">
      <alignment horizontal="left" wrapText="1"/>
    </xf>
    <xf numFmtId="0" fontId="3" fillId="9" borderId="14" xfId="0" applyFont="1" applyFill="1" applyBorder="1" applyAlignment="1">
      <alignment horizontal="left" wrapText="1"/>
    </xf>
    <xf numFmtId="0" fontId="3" fillId="9" borderId="15" xfId="0" applyFont="1" applyFill="1" applyBorder="1" applyAlignment="1">
      <alignment horizontal="left" wrapText="1"/>
    </xf>
    <xf numFmtId="0" fontId="0" fillId="5" borderId="8" xfId="0" applyFill="1" applyBorder="1" applyAlignment="1">
      <alignment horizontal="left" wrapText="1"/>
    </xf>
    <xf numFmtId="0" fontId="0" fillId="5" borderId="0" xfId="0" applyFill="1" applyAlignment="1">
      <alignment horizontal="left" wrapText="1"/>
    </xf>
    <xf numFmtId="0" fontId="0" fillId="5" borderId="12" xfId="0" applyFill="1" applyBorder="1" applyAlignment="1">
      <alignment horizontal="left" wrapText="1"/>
    </xf>
    <xf numFmtId="0" fontId="20" fillId="7" borderId="3" xfId="1" applyFont="1" applyFill="1" applyBorder="1" applyAlignment="1">
      <alignment horizontal="center" vertical="top" wrapText="1"/>
    </xf>
    <xf numFmtId="0" fontId="16" fillId="7" borderId="3" xfId="0" applyFont="1" applyFill="1" applyBorder="1" applyAlignment="1">
      <alignment horizontal="center" vertical="top" wrapText="1"/>
    </xf>
    <xf numFmtId="0" fontId="16" fillId="7" borderId="30" xfId="0" applyFont="1" applyFill="1" applyBorder="1" applyAlignment="1">
      <alignment horizontal="center" vertical="top" wrapText="1"/>
    </xf>
    <xf numFmtId="0" fontId="20" fillId="4" borderId="30" xfId="1" applyFont="1" applyFill="1" applyBorder="1" applyAlignment="1">
      <alignment horizontal="center" vertical="top" wrapText="1"/>
    </xf>
    <xf numFmtId="0" fontId="16" fillId="4" borderId="39" xfId="0" applyFont="1" applyFill="1" applyBorder="1" applyAlignment="1">
      <alignment horizontal="center" vertical="top" wrapText="1"/>
    </xf>
    <xf numFmtId="0" fontId="16" fillId="4" borderId="34" xfId="0" applyFont="1" applyFill="1" applyBorder="1" applyAlignment="1">
      <alignment horizontal="center" vertical="top" wrapText="1"/>
    </xf>
    <xf numFmtId="0" fontId="20" fillId="7" borderId="30" xfId="1" applyFont="1" applyFill="1" applyBorder="1" applyAlignment="1">
      <alignment horizontal="center" vertical="top" wrapText="1"/>
    </xf>
    <xf numFmtId="0" fontId="16" fillId="7" borderId="39" xfId="0" applyFont="1" applyFill="1" applyBorder="1" applyAlignment="1">
      <alignment horizontal="center" vertical="top" wrapText="1"/>
    </xf>
    <xf numFmtId="0" fontId="21" fillId="7" borderId="36" xfId="0" applyFont="1" applyFill="1" applyBorder="1" applyAlignment="1">
      <alignment horizontal="left" vertical="top" wrapText="1"/>
    </xf>
    <xf numFmtId="0" fontId="21" fillId="7" borderId="37" xfId="0" applyFont="1" applyFill="1" applyBorder="1" applyAlignment="1">
      <alignment horizontal="left" vertical="top" wrapText="1"/>
    </xf>
    <xf numFmtId="0" fontId="21" fillId="7" borderId="38" xfId="0" applyFont="1" applyFill="1" applyBorder="1" applyAlignment="1">
      <alignment horizontal="left" vertical="top" wrapText="1"/>
    </xf>
    <xf numFmtId="0" fontId="17" fillId="7" borderId="34" xfId="0" applyFont="1" applyFill="1" applyBorder="1" applyAlignment="1">
      <alignment horizontal="left" vertical="top" wrapText="1"/>
    </xf>
    <xf numFmtId="0" fontId="17" fillId="7" borderId="31" xfId="0" applyFont="1" applyFill="1" applyBorder="1" applyAlignment="1">
      <alignment horizontal="left" vertical="top" wrapText="1"/>
    </xf>
    <xf numFmtId="0" fontId="17" fillId="7" borderId="35" xfId="0" applyFont="1" applyFill="1" applyBorder="1" applyAlignment="1">
      <alignment horizontal="left" vertical="top" wrapText="1"/>
    </xf>
    <xf numFmtId="0" fontId="16" fillId="7" borderId="6" xfId="0" applyFont="1" applyFill="1" applyBorder="1" applyAlignment="1">
      <alignment horizontal="center" vertical="top" wrapText="1"/>
    </xf>
    <xf numFmtId="0" fontId="17" fillId="7" borderId="5" xfId="0" applyFont="1" applyFill="1" applyBorder="1" applyAlignment="1">
      <alignment horizontal="left" vertical="top" wrapText="1"/>
    </xf>
    <xf numFmtId="0" fontId="17" fillId="7" borderId="22" xfId="0" applyFont="1" applyFill="1" applyBorder="1" applyAlignment="1">
      <alignment horizontal="left" vertical="top" wrapText="1"/>
    </xf>
    <xf numFmtId="0" fontId="17" fillId="7" borderId="4" xfId="0" applyFont="1" applyFill="1" applyBorder="1" applyAlignment="1">
      <alignment horizontal="left" vertical="center" wrapText="1"/>
    </xf>
    <xf numFmtId="0" fontId="17" fillId="7" borderId="23" xfId="0" applyFont="1" applyFill="1" applyBorder="1" applyAlignment="1">
      <alignment horizontal="left" vertical="center" wrapText="1"/>
    </xf>
    <xf numFmtId="0" fontId="16" fillId="7" borderId="40" xfId="0" applyFont="1" applyFill="1" applyBorder="1" applyAlignment="1">
      <alignment horizontal="left" vertical="top" wrapText="1"/>
    </xf>
    <xf numFmtId="0" fontId="16" fillId="7" borderId="41" xfId="0" applyFont="1" applyFill="1" applyBorder="1" applyAlignment="1">
      <alignment horizontal="left" vertical="top" wrapText="1"/>
    </xf>
    <xf numFmtId="0" fontId="16" fillId="7" borderId="42" xfId="0" applyFont="1" applyFill="1" applyBorder="1" applyAlignment="1">
      <alignment horizontal="left" vertical="top"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2" fillId="7" borderId="3" xfId="0" applyFont="1" applyFill="1" applyBorder="1" applyAlignment="1">
      <alignment horizontal="left" vertical="top" wrapText="1"/>
    </xf>
    <xf numFmtId="0" fontId="22" fillId="7" borderId="5" xfId="0" applyFont="1" applyFill="1" applyBorder="1" applyAlignment="1">
      <alignment horizontal="left" vertical="top" wrapText="1"/>
    </xf>
    <xf numFmtId="0" fontId="22" fillId="7" borderId="4" xfId="0" applyFont="1" applyFill="1" applyBorder="1" applyAlignment="1">
      <alignment horizontal="left" vertical="top" wrapText="1"/>
    </xf>
    <xf numFmtId="0" fontId="0" fillId="0" borderId="3" xfId="0" applyBorder="1" applyAlignment="1">
      <alignment wrapText="1"/>
    </xf>
    <xf numFmtId="0" fontId="0" fillId="0" borderId="5" xfId="0" applyBorder="1" applyAlignment="1">
      <alignment wrapText="1"/>
    </xf>
    <xf numFmtId="0" fontId="0" fillId="0" borderId="4" xfId="0" applyBorder="1" applyAlignment="1">
      <alignment wrapText="1"/>
    </xf>
    <xf numFmtId="0" fontId="16" fillId="7" borderId="1" xfId="0" applyFont="1" applyFill="1" applyBorder="1" applyAlignment="1">
      <alignment horizontal="left" vertical="top" wrapText="1"/>
    </xf>
    <xf numFmtId="0" fontId="16" fillId="7" borderId="32" xfId="0" applyFont="1" applyFill="1" applyBorder="1" applyAlignment="1">
      <alignment horizontal="left" vertical="top" wrapText="1"/>
    </xf>
    <xf numFmtId="0" fontId="16" fillId="7" borderId="2" xfId="0" applyFont="1" applyFill="1" applyBorder="1" applyAlignment="1">
      <alignment horizontal="left" vertical="top" wrapText="1"/>
    </xf>
    <xf numFmtId="0" fontId="20" fillId="4" borderId="3" xfId="1" applyFont="1" applyFill="1" applyBorder="1" applyAlignment="1">
      <alignment horizontal="center" vertical="top" wrapText="1"/>
    </xf>
    <xf numFmtId="0" fontId="16" fillId="4" borderId="3" xfId="0" applyFont="1" applyFill="1" applyBorder="1" applyAlignment="1">
      <alignment horizontal="center" vertical="top" wrapText="1"/>
    </xf>
    <xf numFmtId="0" fontId="31" fillId="5" borderId="0" xfId="0" applyFont="1" applyFill="1" applyAlignment="1">
      <alignment horizontal="center"/>
    </xf>
    <xf numFmtId="0" fontId="31" fillId="5" borderId="0" xfId="0" applyFont="1" applyFill="1" applyAlignment="1">
      <alignment horizontal="center" vertical="center"/>
    </xf>
    <xf numFmtId="0" fontId="31" fillId="5" borderId="0" xfId="0" applyFont="1" applyFill="1" applyAlignment="1">
      <alignment horizontal="center" vertical="center" wrapText="1"/>
    </xf>
    <xf numFmtId="0" fontId="31" fillId="5" borderId="0" xfId="0" applyFont="1" applyFill="1" applyAlignment="1">
      <alignment horizontal="left"/>
    </xf>
    <xf numFmtId="0" fontId="30" fillId="5" borderId="0" xfId="0" applyFont="1" applyFill="1" applyAlignment="1">
      <alignment horizontal="center"/>
    </xf>
    <xf numFmtId="166" fontId="31" fillId="5" borderId="0" xfId="0" applyNumberFormat="1" applyFont="1" applyFill="1" applyAlignment="1">
      <alignment horizont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 fillId="4" borderId="0" xfId="0" applyFont="1" applyFill="1" applyAlignment="1" applyProtection="1">
      <alignment horizontal="left"/>
      <protection locked="0"/>
    </xf>
    <xf numFmtId="0" fontId="1" fillId="5" borderId="0" xfId="0" applyFont="1" applyFill="1" applyAlignment="1">
      <alignment horizontal="center" vertical="center"/>
    </xf>
    <xf numFmtId="0" fontId="1" fillId="5" borderId="29" xfId="0" applyFont="1" applyFill="1" applyBorder="1" applyAlignment="1">
      <alignment horizontal="center" vertical="center"/>
    </xf>
    <xf numFmtId="0" fontId="8" fillId="5" borderId="0" xfId="1" applyFont="1" applyFill="1" applyBorder="1" applyAlignment="1">
      <alignment horizontal="left" vertical="center"/>
    </xf>
    <xf numFmtId="0" fontId="1" fillId="5" borderId="24" xfId="0" applyFont="1" applyFill="1" applyBorder="1" applyAlignment="1">
      <alignment horizontal="right"/>
    </xf>
    <xf numFmtId="0" fontId="1" fillId="5" borderId="25" xfId="0" applyFont="1" applyFill="1" applyBorder="1" applyAlignment="1">
      <alignment horizontal="right"/>
    </xf>
    <xf numFmtId="0" fontId="1" fillId="4" borderId="25" xfId="0" applyFont="1" applyFill="1" applyBorder="1" applyAlignment="1" applyProtection="1">
      <alignment horizontal="center"/>
      <protection locked="0"/>
    </xf>
    <xf numFmtId="0" fontId="30" fillId="5" borderId="0" xfId="0" applyFont="1" applyFill="1" applyAlignment="1">
      <alignment horizontal="center" vertical="center" wrapText="1"/>
    </xf>
    <xf numFmtId="0" fontId="1" fillId="5" borderId="17" xfId="0" applyFont="1" applyFill="1" applyBorder="1" applyAlignment="1">
      <alignment horizontal="left" vertical="center" wrapText="1"/>
    </xf>
    <xf numFmtId="0" fontId="1" fillId="5" borderId="16" xfId="0" applyFont="1" applyFill="1" applyBorder="1" applyAlignment="1">
      <alignment horizontal="left" vertical="center" wrapText="1"/>
    </xf>
    <xf numFmtId="0" fontId="1" fillId="5" borderId="18"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21" xfId="0" applyFont="1" applyFill="1" applyBorder="1" applyAlignment="1">
      <alignment horizontal="left" vertical="center" wrapText="1"/>
    </xf>
    <xf numFmtId="0" fontId="31" fillId="5" borderId="0" xfId="0" applyFont="1" applyFill="1" applyAlignment="1">
      <alignment horizontal="left" wrapText="1"/>
    </xf>
    <xf numFmtId="0" fontId="1" fillId="5" borderId="27"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28" xfId="0" applyFont="1" applyFill="1" applyBorder="1" applyAlignment="1">
      <alignment horizontal="left"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164" fontId="31" fillId="5" borderId="0" xfId="0" applyNumberFormat="1" applyFont="1" applyFill="1" applyAlignment="1">
      <alignment horizontal="center"/>
    </xf>
    <xf numFmtId="0" fontId="9" fillId="0" borderId="0" xfId="0" applyFont="1" applyAlignment="1">
      <alignment horizontal="center" vertical="center"/>
    </xf>
    <xf numFmtId="0" fontId="9" fillId="0" borderId="12" xfId="0" applyFont="1" applyBorder="1" applyAlignment="1">
      <alignment horizontal="center" vertical="center"/>
    </xf>
    <xf numFmtId="0" fontId="1" fillId="5" borderId="24" xfId="0" applyFont="1" applyFill="1" applyBorder="1" applyAlignment="1">
      <alignment horizontal="left"/>
    </xf>
    <xf numFmtId="0" fontId="1" fillId="5" borderId="25" xfId="0" applyFont="1" applyFill="1" applyBorder="1" applyAlignment="1">
      <alignment horizontal="left"/>
    </xf>
    <xf numFmtId="0" fontId="1" fillId="5" borderId="26" xfId="0" applyFont="1" applyFill="1" applyBorder="1" applyAlignment="1">
      <alignment horizontal="left"/>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2" fontId="31" fillId="5" borderId="0" xfId="0" applyNumberFormat="1" applyFont="1" applyFill="1" applyAlignment="1">
      <alignment horizontal="center" vertical="center"/>
    </xf>
    <xf numFmtId="2" fontId="31" fillId="5" borderId="0" xfId="0" applyNumberFormat="1" applyFont="1" applyFill="1" applyAlignment="1">
      <alignment horizontal="center"/>
    </xf>
    <xf numFmtId="2" fontId="31" fillId="5" borderId="0" xfId="0" applyNumberFormat="1" applyFont="1" applyFill="1" applyAlignment="1">
      <alignment horizontal="left"/>
    </xf>
    <xf numFmtId="2" fontId="30" fillId="5" borderId="0" xfId="0" applyNumberFormat="1" applyFont="1" applyFill="1" applyAlignment="1">
      <alignment horizontal="left"/>
    </xf>
    <xf numFmtId="0" fontId="1" fillId="0" borderId="0" xfId="0" applyFont="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 fillId="0" borderId="43" xfId="0" applyFont="1" applyBorder="1" applyAlignment="1">
      <alignment horizontal="center" vertical="center"/>
    </xf>
    <xf numFmtId="0" fontId="1" fillId="0" borderId="50" xfId="0" applyFont="1" applyBorder="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wrapText="1"/>
    </xf>
    <xf numFmtId="0" fontId="0" fillId="0" borderId="0" xfId="0" applyAlignment="1">
      <alignment horizontal="center" wrapText="1"/>
    </xf>
    <xf numFmtId="0" fontId="43" fillId="5" borderId="0" xfId="0" applyFont="1" applyFill="1" applyAlignment="1">
      <alignment horizontal="center" vertical="center"/>
    </xf>
    <xf numFmtId="0" fontId="43" fillId="5" borderId="0" xfId="0" applyFont="1" applyFill="1" applyAlignment="1">
      <alignment horizontal="center" vertical="center" wrapText="1"/>
    </xf>
    <xf numFmtId="0" fontId="44" fillId="5" borderId="0" xfId="0" applyFont="1" applyFill="1" applyAlignment="1">
      <alignment horizontal="center"/>
    </xf>
    <xf numFmtId="0" fontId="43" fillId="5" borderId="0" xfId="0" applyFont="1" applyFill="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329E9"/>
      <color rgb="FF000099"/>
      <color rgb="FFFF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Expected Utility </a:t>
            </a:r>
          </a:p>
        </c:rich>
      </c:tx>
      <c:layout>
        <c:manualLayout>
          <c:xMode val="edge"/>
          <c:yMode val="edge"/>
          <c:x val="0.38501958611957426"/>
          <c:y val="8.9686098654708519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80217359764702"/>
          <c:y val="0.1714207360851194"/>
          <c:w val="0.84655684371111906"/>
          <c:h val="0.69607311417911311"/>
        </c:manualLayout>
      </c:layout>
      <c:scatterChart>
        <c:scatterStyle val="lineMarker"/>
        <c:varyColors val="0"/>
        <c:ser>
          <c:idx val="0"/>
          <c:order val="0"/>
          <c:tx>
            <c:strRef>
              <c:f>'R1-R10'!$P$86</c:f>
              <c:strCache>
                <c:ptCount val="1"/>
                <c:pt idx="0">
                  <c:v>NoRx</c:v>
                </c:pt>
              </c:strCache>
            </c:strRef>
          </c:tx>
          <c:spPr>
            <a:ln w="25400" cap="rnd">
              <a:solidFill>
                <a:schemeClr val="accent6"/>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'R1-R10'!$P$87:$P$90</c:f>
              <c:numCache>
                <c:formatCode>0.0</c:formatCode>
                <c:ptCount val="4"/>
                <c:pt idx="0">
                  <c:v>7.55</c:v>
                </c:pt>
                <c:pt idx="1">
                  <c:v>15.302085561497325</c:v>
                </c:pt>
                <c:pt idx="2">
                  <c:v>20.373441176470585</c:v>
                </c:pt>
                <c:pt idx="3">
                  <c:v>62.5</c:v>
                </c:pt>
              </c:numCache>
            </c:numRef>
          </c:yVal>
          <c:smooth val="0"/>
          <c:extLst>
            <c:ext xmlns:c16="http://schemas.microsoft.com/office/drawing/2014/chart" uri="{C3380CC4-5D6E-409C-BE32-E72D297353CC}">
              <c16:uniqueId val="{00000000-42B1-4B32-8E34-3DDE7F2BE142}"/>
            </c:ext>
          </c:extLst>
        </c:ser>
        <c:ser>
          <c:idx val="1"/>
          <c:order val="1"/>
          <c:tx>
            <c:strRef>
              <c:f>'R1-R10'!$Q$86</c:f>
              <c:strCache>
                <c:ptCount val="1"/>
                <c:pt idx="0">
                  <c:v>Test</c:v>
                </c:pt>
              </c:strCache>
            </c:strRef>
          </c:tx>
          <c:spPr>
            <a:ln w="25400" cap="rnd">
              <a:solidFill>
                <a:srgbClr val="F329E9"/>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'R1-R10'!$Q$87:$Q$90</c:f>
              <c:numCache>
                <c:formatCode>0.0</c:formatCode>
                <c:ptCount val="4"/>
                <c:pt idx="0">
                  <c:v>10.863130713712909</c:v>
                </c:pt>
                <c:pt idx="1">
                  <c:v>15.302085561497325</c:v>
                </c:pt>
                <c:pt idx="2">
                  <c:v>18.206016176470584</c:v>
                </c:pt>
                <c:pt idx="3">
                  <c:v>42.328285084202079</c:v>
                </c:pt>
              </c:numCache>
            </c:numRef>
          </c:yVal>
          <c:smooth val="0"/>
          <c:extLst>
            <c:ext xmlns:c16="http://schemas.microsoft.com/office/drawing/2014/chart" uri="{C3380CC4-5D6E-409C-BE32-E72D297353CC}">
              <c16:uniqueId val="{00000001-42B1-4B32-8E34-3DDE7F2BE142}"/>
            </c:ext>
          </c:extLst>
        </c:ser>
        <c:ser>
          <c:idx val="2"/>
          <c:order val="2"/>
          <c:tx>
            <c:strRef>
              <c:f>'R1-R10'!$R$86</c:f>
              <c:strCache>
                <c:ptCount val="1"/>
                <c:pt idx="0">
                  <c:v>Rx</c:v>
                </c:pt>
              </c:strCache>
            </c:strRef>
          </c:tx>
          <c:spPr>
            <a:ln w="25400" cap="rnd">
              <a:solidFill>
                <a:srgbClr val="FF0000"/>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'R1-R10'!$R$87:$R$90</c:f>
              <c:numCache>
                <c:formatCode>0.0</c:formatCode>
                <c:ptCount val="4"/>
                <c:pt idx="0">
                  <c:v>16.282499999999999</c:v>
                </c:pt>
                <c:pt idx="1">
                  <c:v>17.445312834224598</c:v>
                </c:pt>
                <c:pt idx="2">
                  <c:v>18.206016176470587</c:v>
                </c:pt>
                <c:pt idx="3">
                  <c:v>24.524999999999999</c:v>
                </c:pt>
              </c:numCache>
            </c:numRef>
          </c:yVal>
          <c:smooth val="0"/>
          <c:extLst>
            <c:ext xmlns:c16="http://schemas.microsoft.com/office/drawing/2014/chart" uri="{C3380CC4-5D6E-409C-BE32-E72D297353CC}">
              <c16:uniqueId val="{00000002-42B1-4B32-8E34-3DDE7F2BE142}"/>
            </c:ext>
          </c:extLst>
        </c:ser>
        <c:ser>
          <c:idx val="3"/>
          <c:order val="3"/>
          <c:tx>
            <c:strRef>
              <c:f>'R1-R10'!$H$56</c:f>
              <c:strCache>
                <c:ptCount val="1"/>
                <c:pt idx="0">
                  <c:v>Case R2 (p = 1%)</c:v>
                </c:pt>
              </c:strCache>
            </c:strRef>
          </c:tx>
          <c:spPr>
            <a:ln w="38100" cap="rnd">
              <a:solidFill>
                <a:schemeClr val="accent4"/>
              </a:solidFill>
              <a:round/>
              <a:tailEnd type="triangle"/>
            </a:ln>
            <a:effectLst/>
          </c:spPr>
          <c:marker>
            <c:symbol val="none"/>
          </c:marker>
          <c:xVal>
            <c:numRef>
              <c:f>'R1-R10'!$X$70:$Y$70</c:f>
              <c:numCache>
                <c:formatCode>General</c:formatCode>
                <c:ptCount val="2"/>
                <c:pt idx="0">
                  <c:v>0.01</c:v>
                </c:pt>
                <c:pt idx="1">
                  <c:v>0.01</c:v>
                </c:pt>
              </c:numCache>
            </c:numRef>
          </c:xVal>
          <c:yVal>
            <c:numRef>
              <c:f>'R1-R10'!$X$71:$Y$71</c:f>
              <c:numCache>
                <c:formatCode>0.0</c:formatCode>
                <c:ptCount val="2"/>
                <c:pt idx="0">
                  <c:v>0</c:v>
                </c:pt>
                <c:pt idx="1">
                  <c:v>12.5</c:v>
                </c:pt>
              </c:numCache>
            </c:numRef>
          </c:yVal>
          <c:smooth val="0"/>
          <c:extLst>
            <c:ext xmlns:c16="http://schemas.microsoft.com/office/drawing/2014/chart" uri="{C3380CC4-5D6E-409C-BE32-E72D297353CC}">
              <c16:uniqueId val="{00000003-42B1-4B32-8E34-3DDE7F2BE142}"/>
            </c:ext>
          </c:extLst>
        </c:ser>
        <c:ser>
          <c:idx val="4"/>
          <c:order val="4"/>
          <c:tx>
            <c:strRef>
              <c:f>'R1-R10'!$G$52</c:f>
              <c:strCache>
                <c:ptCount val="1"/>
                <c:pt idx="0">
                  <c:v>Testing threshold (1.56%)</c:v>
                </c:pt>
              </c:strCache>
            </c:strRef>
          </c:tx>
          <c:spPr>
            <a:ln w="25400" cap="rnd">
              <a:solidFill>
                <a:srgbClr val="C00000"/>
              </a:solidFill>
              <a:prstDash val="sysDot"/>
              <a:round/>
            </a:ln>
            <a:effectLst/>
          </c:spPr>
          <c:marker>
            <c:symbol val="none"/>
          </c:marker>
          <c:xVal>
            <c:numRef>
              <c:f>'R1-R10'!$X$58:$Y$58</c:f>
              <c:numCache>
                <c:formatCode>0.0000</c:formatCode>
                <c:ptCount val="2"/>
                <c:pt idx="0">
                  <c:v>1.5604171122994651E-2</c:v>
                </c:pt>
                <c:pt idx="1">
                  <c:v>1.5604171122994651E-2</c:v>
                </c:pt>
              </c:numCache>
            </c:numRef>
          </c:xVal>
          <c:yVal>
            <c:numRef>
              <c:f>'R1-R10'!$X$59:$Y$59</c:f>
              <c:numCache>
                <c:formatCode>0.0</c:formatCode>
                <c:ptCount val="2"/>
                <c:pt idx="0">
                  <c:v>0</c:v>
                </c:pt>
                <c:pt idx="1">
                  <c:v>15.302085561497325</c:v>
                </c:pt>
              </c:numCache>
            </c:numRef>
          </c:yVal>
          <c:smooth val="0"/>
          <c:extLst>
            <c:ext xmlns:c16="http://schemas.microsoft.com/office/drawing/2014/chart" uri="{C3380CC4-5D6E-409C-BE32-E72D297353CC}">
              <c16:uniqueId val="{00000000-7813-45F7-87FD-A715495FA589}"/>
            </c:ext>
          </c:extLst>
        </c:ser>
        <c:ser>
          <c:idx val="5"/>
          <c:order val="5"/>
          <c:tx>
            <c:strRef>
              <c:f>'R1-R10'!$G$53</c:f>
              <c:strCache>
                <c:ptCount val="1"/>
                <c:pt idx="0">
                  <c:v>Treatment threshold(2.57%)</c:v>
                </c:pt>
              </c:strCache>
            </c:strRef>
          </c:tx>
          <c:spPr>
            <a:ln w="25400" cap="rnd">
              <a:solidFill>
                <a:srgbClr val="7030A0"/>
              </a:solidFill>
              <a:prstDash val="sysDot"/>
              <a:round/>
            </a:ln>
            <a:effectLst/>
          </c:spPr>
          <c:marker>
            <c:symbol val="none"/>
          </c:marker>
          <c:xVal>
            <c:numRef>
              <c:f>'R1-R10'!$X$64:$Y$64</c:f>
              <c:numCache>
                <c:formatCode>0.0000</c:formatCode>
                <c:ptCount val="2"/>
                <c:pt idx="0">
                  <c:v>2.5746882352941172E-2</c:v>
                </c:pt>
                <c:pt idx="1">
                  <c:v>2.5746882352941172E-2</c:v>
                </c:pt>
              </c:numCache>
            </c:numRef>
          </c:xVal>
          <c:yVal>
            <c:numRef>
              <c:f>'R1-R10'!$X$65:$Y$65</c:f>
              <c:numCache>
                <c:formatCode>0.0</c:formatCode>
                <c:ptCount val="2"/>
                <c:pt idx="0">
                  <c:v>0</c:v>
                </c:pt>
                <c:pt idx="1">
                  <c:v>18.206016176470587</c:v>
                </c:pt>
              </c:numCache>
            </c:numRef>
          </c:yVal>
          <c:smooth val="0"/>
          <c:extLst>
            <c:ext xmlns:c16="http://schemas.microsoft.com/office/drawing/2014/chart" uri="{C3380CC4-5D6E-409C-BE32-E72D297353CC}">
              <c16:uniqueId val="{00000001-7813-45F7-87FD-A715495FA589}"/>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'R1-R10'!$P$57:$R$57</c:f>
              <c:strCache>
                <c:ptCount val="3"/>
                <c:pt idx="0">
                  <c:v>Weighted Average  (VTE + major bleeding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8.7294565566238894E-2"/>
          <c:y val="6.4499134917552353E-2"/>
          <c:w val="0.8824321668610059"/>
          <c:h val="0.10093970648035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lumMod val="65000"/>
                    <a:lumOff val="35000"/>
                  </a:sysClr>
                </a:solidFill>
              </a:rPr>
              <a:t>Expected Regret</a:t>
            </a:r>
          </a:p>
        </c:rich>
      </c:tx>
      <c:layout>
        <c:manualLayout>
          <c:xMode val="edge"/>
          <c:yMode val="edge"/>
          <c:x val="0.38694948489175968"/>
          <c:y val="5.952380952380952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'R1-R10'!$P$58</c:f>
              <c:strCache>
                <c:ptCount val="1"/>
                <c:pt idx="0">
                  <c:v>NoRx</c:v>
                </c:pt>
              </c:strCache>
            </c:strRef>
          </c:tx>
          <c:spPr>
            <a:ln w="31750" cap="rnd">
              <a:solidFill>
                <a:schemeClr val="accent6"/>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'R1-R10'!$S$87:$S$90</c:f>
              <c:numCache>
                <c:formatCode>0.0</c:formatCode>
                <c:ptCount val="4"/>
                <c:pt idx="0">
                  <c:v>0</c:v>
                </c:pt>
                <c:pt idx="1">
                  <c:v>0</c:v>
                </c:pt>
                <c:pt idx="2">
                  <c:v>2.1674250000000015</c:v>
                </c:pt>
                <c:pt idx="3">
                  <c:v>37.975000000000001</c:v>
                </c:pt>
              </c:numCache>
            </c:numRef>
          </c:yVal>
          <c:smooth val="0"/>
          <c:extLst>
            <c:ext xmlns:c16="http://schemas.microsoft.com/office/drawing/2014/chart" uri="{C3380CC4-5D6E-409C-BE32-E72D297353CC}">
              <c16:uniqueId val="{00000000-7FCD-44B9-9F23-56D50ACBB8B9}"/>
            </c:ext>
          </c:extLst>
        </c:ser>
        <c:ser>
          <c:idx val="1"/>
          <c:order val="1"/>
          <c:tx>
            <c:strRef>
              <c:f>'R1-R10'!$Q$58</c:f>
              <c:strCache>
                <c:ptCount val="1"/>
                <c:pt idx="0">
                  <c:v>Test</c:v>
                </c:pt>
              </c:strCache>
            </c:strRef>
          </c:tx>
          <c:spPr>
            <a:ln w="31750" cap="rnd">
              <a:solidFill>
                <a:srgbClr val="F329E9"/>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'R1-R10'!$T$87:$T$90</c:f>
              <c:numCache>
                <c:formatCode>0.0</c:formatCode>
                <c:ptCount val="4"/>
                <c:pt idx="0">
                  <c:v>3.3131307137129093</c:v>
                </c:pt>
                <c:pt idx="1">
                  <c:v>0</c:v>
                </c:pt>
                <c:pt idx="2">
                  <c:v>0</c:v>
                </c:pt>
                <c:pt idx="3">
                  <c:v>17.803285084202081</c:v>
                </c:pt>
              </c:numCache>
            </c:numRef>
          </c:yVal>
          <c:smooth val="0"/>
          <c:extLst>
            <c:ext xmlns:c16="http://schemas.microsoft.com/office/drawing/2014/chart" uri="{C3380CC4-5D6E-409C-BE32-E72D297353CC}">
              <c16:uniqueId val="{00000001-7FCD-44B9-9F23-56D50ACBB8B9}"/>
            </c:ext>
          </c:extLst>
        </c:ser>
        <c:ser>
          <c:idx val="2"/>
          <c:order val="2"/>
          <c:tx>
            <c:strRef>
              <c:f>'R1-R10'!$R$58</c:f>
              <c:strCache>
                <c:ptCount val="1"/>
                <c:pt idx="0">
                  <c:v>Rx</c:v>
                </c:pt>
              </c:strCache>
            </c:strRef>
          </c:tx>
          <c:spPr>
            <a:ln w="31750" cap="rnd">
              <a:solidFill>
                <a:srgbClr val="FF0000"/>
              </a:solidFill>
              <a:round/>
            </a:ln>
            <a:effectLst/>
          </c:spPr>
          <c:marker>
            <c:symbol val="none"/>
          </c:marker>
          <c:xVal>
            <c:numRef>
              <c:f>'R1-R10'!$I$87:$I$90</c:f>
              <c:numCache>
                <c:formatCode>0.0000</c:formatCode>
                <c:ptCount val="4"/>
                <c:pt idx="0">
                  <c:v>1E-4</c:v>
                </c:pt>
                <c:pt idx="1">
                  <c:v>1.5604171122994651E-2</c:v>
                </c:pt>
                <c:pt idx="2">
                  <c:v>2.5746882352941172E-2</c:v>
                </c:pt>
                <c:pt idx="3">
                  <c:v>0.11</c:v>
                </c:pt>
              </c:numCache>
            </c:numRef>
          </c:xVal>
          <c:yVal>
            <c:numRef>
              <c:f>'R1-R10'!$U$87:$U$90</c:f>
              <c:numCache>
                <c:formatCode>0.0</c:formatCode>
                <c:ptCount val="4"/>
                <c:pt idx="0">
                  <c:v>8.7324999999999982</c:v>
                </c:pt>
                <c:pt idx="1">
                  <c:v>2.1432272727272732</c:v>
                </c:pt>
                <c:pt idx="2">
                  <c:v>0</c:v>
                </c:pt>
                <c:pt idx="3">
                  <c:v>0</c:v>
                </c:pt>
              </c:numCache>
            </c:numRef>
          </c:yVal>
          <c:smooth val="0"/>
          <c:extLst>
            <c:ext xmlns:c16="http://schemas.microsoft.com/office/drawing/2014/chart" uri="{C3380CC4-5D6E-409C-BE32-E72D297353CC}">
              <c16:uniqueId val="{00000002-7FCD-44B9-9F23-56D50ACBB8B9}"/>
            </c:ext>
          </c:extLst>
        </c:ser>
        <c:ser>
          <c:idx val="3"/>
          <c:order val="3"/>
          <c:tx>
            <c:strRef>
              <c:f>'R1-R10'!$H$56</c:f>
              <c:strCache>
                <c:ptCount val="1"/>
                <c:pt idx="0">
                  <c:v>Case R2 (p = 1%)</c:v>
                </c:pt>
              </c:strCache>
            </c:strRef>
          </c:tx>
          <c:spPr>
            <a:ln w="38100" cap="rnd">
              <a:solidFill>
                <a:schemeClr val="accent4"/>
              </a:solidFill>
              <a:round/>
              <a:tailEnd type="triangle"/>
            </a:ln>
            <a:effectLst/>
          </c:spPr>
          <c:marker>
            <c:symbol val="none"/>
          </c:marker>
          <c:xVal>
            <c:numRef>
              <c:f>'R1-R10'!$X$70:$Y$70</c:f>
              <c:numCache>
                <c:formatCode>General</c:formatCode>
                <c:ptCount val="2"/>
                <c:pt idx="0">
                  <c:v>0.01</c:v>
                </c:pt>
                <c:pt idx="1">
                  <c:v>0.01</c:v>
                </c:pt>
              </c:numCache>
            </c:numRef>
          </c:xVal>
          <c:yVal>
            <c:numRef>
              <c:f>'R1-R10'!$X$72:$Y$72</c:f>
              <c:numCache>
                <c:formatCode>0.0</c:formatCode>
                <c:ptCount val="2"/>
                <c:pt idx="0">
                  <c:v>0</c:v>
                </c:pt>
                <c:pt idx="1">
                  <c:v>5</c:v>
                </c:pt>
              </c:numCache>
            </c:numRef>
          </c:yVal>
          <c:smooth val="0"/>
          <c:extLst>
            <c:ext xmlns:c16="http://schemas.microsoft.com/office/drawing/2014/chart" uri="{C3380CC4-5D6E-409C-BE32-E72D297353CC}">
              <c16:uniqueId val="{00000003-7FCD-44B9-9F23-56D50ACBB8B9}"/>
            </c:ext>
          </c:extLst>
        </c:ser>
        <c:ser>
          <c:idx val="4"/>
          <c:order val="4"/>
          <c:tx>
            <c:strRef>
              <c:f>'R1-R10'!$G$52</c:f>
              <c:strCache>
                <c:ptCount val="1"/>
                <c:pt idx="0">
                  <c:v>Testing threshold (1.56%)</c:v>
                </c:pt>
              </c:strCache>
            </c:strRef>
          </c:tx>
          <c:spPr>
            <a:ln w="25400" cap="rnd">
              <a:solidFill>
                <a:srgbClr val="C00000"/>
              </a:solidFill>
              <a:prstDash val="sysDot"/>
              <a:round/>
            </a:ln>
            <a:effectLst/>
          </c:spPr>
          <c:marker>
            <c:symbol val="none"/>
          </c:marker>
          <c:xVal>
            <c:numRef>
              <c:f>'R1-R10'!$X$58:$Y$58</c:f>
              <c:numCache>
                <c:formatCode>0.0000</c:formatCode>
                <c:ptCount val="2"/>
                <c:pt idx="0">
                  <c:v>1.5604171122994651E-2</c:v>
                </c:pt>
                <c:pt idx="1">
                  <c:v>1.5604171122994651E-2</c:v>
                </c:pt>
              </c:numCache>
            </c:numRef>
          </c:xVal>
          <c:yVal>
            <c:numRef>
              <c:f>'R1-R10'!$X$60:$Y$60</c:f>
              <c:numCache>
                <c:formatCode>0.000</c:formatCode>
                <c:ptCount val="2"/>
                <c:pt idx="0" formatCode="0.0">
                  <c:v>0</c:v>
                </c:pt>
                <c:pt idx="1">
                  <c:v>5</c:v>
                </c:pt>
              </c:numCache>
            </c:numRef>
          </c:yVal>
          <c:smooth val="0"/>
          <c:extLst>
            <c:ext xmlns:c16="http://schemas.microsoft.com/office/drawing/2014/chart" uri="{C3380CC4-5D6E-409C-BE32-E72D297353CC}">
              <c16:uniqueId val="{00000004-7FCD-44B9-9F23-56D50ACBB8B9}"/>
            </c:ext>
          </c:extLst>
        </c:ser>
        <c:ser>
          <c:idx val="5"/>
          <c:order val="5"/>
          <c:tx>
            <c:strRef>
              <c:f>'R1-R10'!$G$53</c:f>
              <c:strCache>
                <c:ptCount val="1"/>
                <c:pt idx="0">
                  <c:v>Treatment threshold(2.57%)</c:v>
                </c:pt>
              </c:strCache>
            </c:strRef>
          </c:tx>
          <c:spPr>
            <a:ln w="25400" cap="rnd">
              <a:solidFill>
                <a:srgbClr val="7030A0"/>
              </a:solidFill>
              <a:prstDash val="sysDot"/>
              <a:round/>
            </a:ln>
            <a:effectLst/>
          </c:spPr>
          <c:marker>
            <c:symbol val="none"/>
          </c:marker>
          <c:xVal>
            <c:numRef>
              <c:f>'R1-R10'!$X$64:$Y$64</c:f>
              <c:numCache>
                <c:formatCode>0.0000</c:formatCode>
                <c:ptCount val="2"/>
                <c:pt idx="0">
                  <c:v>2.5746882352941172E-2</c:v>
                </c:pt>
                <c:pt idx="1">
                  <c:v>2.5746882352941172E-2</c:v>
                </c:pt>
              </c:numCache>
            </c:numRef>
          </c:xVal>
          <c:yVal>
            <c:numRef>
              <c:f>'R1-R10'!$X$66:$Y$66</c:f>
              <c:numCache>
                <c:formatCode>0.0</c:formatCode>
                <c:ptCount val="2"/>
                <c:pt idx="0">
                  <c:v>0</c:v>
                </c:pt>
                <c:pt idx="1">
                  <c:v>5</c:v>
                </c:pt>
              </c:numCache>
            </c:numRef>
          </c:yVal>
          <c:smooth val="0"/>
          <c:extLst>
            <c:ext xmlns:c16="http://schemas.microsoft.com/office/drawing/2014/chart" uri="{C3380CC4-5D6E-409C-BE32-E72D297353CC}">
              <c16:uniqueId val="{00000005-7FCD-44B9-9F23-56D50ACBB8B9}"/>
            </c:ext>
          </c:extLst>
        </c:ser>
        <c:ser>
          <c:idx val="6"/>
          <c:order val="6"/>
          <c:tx>
            <c:strRef>
              <c:f>'R1-R10'!$W$50</c:f>
              <c:strCache>
                <c:ptCount val="1"/>
                <c:pt idx="0">
                  <c:v>Acceptable regret (Rg = 5)</c:v>
                </c:pt>
              </c:strCache>
            </c:strRef>
          </c:tx>
          <c:spPr>
            <a:ln w="31750" cap="rnd">
              <a:solidFill>
                <a:srgbClr val="000099"/>
              </a:solidFill>
              <a:prstDash val="sysDash"/>
              <a:round/>
            </a:ln>
            <a:effectLst/>
          </c:spPr>
          <c:marker>
            <c:symbol val="none"/>
          </c:marker>
          <c:xVal>
            <c:numRef>
              <c:f>'R1-R10'!$X$51:$Y$51</c:f>
              <c:numCache>
                <c:formatCode>General</c:formatCode>
                <c:ptCount val="2"/>
                <c:pt idx="0">
                  <c:v>1E-4</c:v>
                </c:pt>
                <c:pt idx="1">
                  <c:v>0.11</c:v>
                </c:pt>
              </c:numCache>
            </c:numRef>
          </c:xVal>
          <c:yVal>
            <c:numRef>
              <c:f>'R1-R10'!$X$52:$Y$52</c:f>
              <c:numCache>
                <c:formatCode>General</c:formatCode>
                <c:ptCount val="2"/>
                <c:pt idx="0">
                  <c:v>5</c:v>
                </c:pt>
                <c:pt idx="1">
                  <c:v>5</c:v>
                </c:pt>
              </c:numCache>
            </c:numRef>
          </c:yVal>
          <c:smooth val="0"/>
          <c:extLst>
            <c:ext xmlns:c16="http://schemas.microsoft.com/office/drawing/2014/chart" uri="{C3380CC4-5D6E-409C-BE32-E72D297353CC}">
              <c16:uniqueId val="{00000006-7FCD-44B9-9F23-56D50ACBB8B9}"/>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minorUnit val="2.0000000000000004E-2"/>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'R1-R10'!$S$57:$U$57</c:f>
              <c:strCache>
                <c:ptCount val="3"/>
                <c:pt idx="0">
                  <c:v>Regret - Weighted Average  (VTE + major bleeding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1.8683820928373961E-2"/>
          <c:y val="7.0251218597675302E-2"/>
          <c:w val="0.97561020346666316"/>
          <c:h val="9.6266872890888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Expected Utility </a:t>
            </a:r>
          </a:p>
        </c:rich>
      </c:tx>
      <c:layout>
        <c:manualLayout>
          <c:xMode val="edge"/>
          <c:yMode val="edge"/>
          <c:x val="0.36657564432125389"/>
          <c:y val="1.709401709401709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214275507825127E-2"/>
          <c:y val="0.17628238777845073"/>
          <c:w val="0.86276184674623413"/>
          <c:h val="0.69744038405455733"/>
        </c:manualLayout>
      </c:layout>
      <c:scatterChart>
        <c:scatterStyle val="lineMarker"/>
        <c:varyColors val="0"/>
        <c:ser>
          <c:idx val="0"/>
          <c:order val="0"/>
          <c:tx>
            <c:strRef>
              <c:f>'R11-R14,R21-R23'!$J$77</c:f>
              <c:strCache>
                <c:ptCount val="1"/>
                <c:pt idx="0">
                  <c:v>NoRx</c:v>
                </c:pt>
              </c:strCache>
            </c:strRef>
          </c:tx>
          <c:spPr>
            <a:ln w="31750" cap="rnd">
              <a:solidFill>
                <a:schemeClr val="accent6"/>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'R11-R14,R21-R23'!$P$78:$P$81</c:f>
              <c:numCache>
                <c:formatCode>0.00000</c:formatCode>
                <c:ptCount val="4"/>
                <c:pt idx="0">
                  <c:v>2.0499999999999998</c:v>
                </c:pt>
                <c:pt idx="1">
                  <c:v>4.7658135815035623</c:v>
                </c:pt>
                <c:pt idx="2">
                  <c:v>18.539565217391306</c:v>
                </c:pt>
                <c:pt idx="3">
                  <c:v>57</c:v>
                </c:pt>
              </c:numCache>
            </c:numRef>
          </c:yVal>
          <c:smooth val="0"/>
          <c:extLst>
            <c:ext xmlns:c16="http://schemas.microsoft.com/office/drawing/2014/chart" uri="{C3380CC4-5D6E-409C-BE32-E72D297353CC}">
              <c16:uniqueId val="{00000000-78D2-49D5-A403-46D07D46C35A}"/>
            </c:ext>
          </c:extLst>
        </c:ser>
        <c:ser>
          <c:idx val="1"/>
          <c:order val="1"/>
          <c:tx>
            <c:strRef>
              <c:f>'R11-R14,R21-R23'!$K$77</c:f>
              <c:strCache>
                <c:ptCount val="1"/>
                <c:pt idx="0">
                  <c:v>Test</c:v>
                </c:pt>
              </c:strCache>
            </c:strRef>
          </c:tx>
          <c:spPr>
            <a:ln w="31750" cap="rnd">
              <a:solidFill>
                <a:srgbClr val="F329E9"/>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'R11-R14,R21-R23'!$Q$78:$Q$81</c:f>
              <c:numCache>
                <c:formatCode>0.00000</c:formatCode>
                <c:ptCount val="4"/>
                <c:pt idx="0">
                  <c:v>3.1202951289398277</c:v>
                </c:pt>
                <c:pt idx="1">
                  <c:v>4.7658135815035623</c:v>
                </c:pt>
                <c:pt idx="2">
                  <c:v>13.111365217391306</c:v>
                </c:pt>
                <c:pt idx="3">
                  <c:v>36.41464183381089</c:v>
                </c:pt>
              </c:numCache>
            </c:numRef>
          </c:yVal>
          <c:smooth val="0"/>
          <c:extLst>
            <c:ext xmlns:c16="http://schemas.microsoft.com/office/drawing/2014/chart" uri="{C3380CC4-5D6E-409C-BE32-E72D297353CC}">
              <c16:uniqueId val="{00000001-78D2-49D5-A403-46D07D46C35A}"/>
            </c:ext>
          </c:extLst>
        </c:ser>
        <c:ser>
          <c:idx val="2"/>
          <c:order val="2"/>
          <c:tx>
            <c:strRef>
              <c:f>'R11-R14,R21-R23'!$L$77</c:f>
              <c:strCache>
                <c:ptCount val="1"/>
                <c:pt idx="0">
                  <c:v>Rx</c:v>
                </c:pt>
              </c:strCache>
            </c:strRef>
          </c:tx>
          <c:spPr>
            <a:ln w="31750" cap="rnd">
              <a:solidFill>
                <a:srgbClr val="FF0000"/>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'R11-R14,R21-R23'!$R$78:$R$81</c:f>
              <c:numCache>
                <c:formatCode>0.00000</c:formatCode>
                <c:ptCount val="4"/>
                <c:pt idx="0">
                  <c:v>4.2069999999999999</c:v>
                </c:pt>
                <c:pt idx="1">
                  <c:v>5.6735393340119238</c:v>
                </c:pt>
                <c:pt idx="2">
                  <c:v>13.111365217391304</c:v>
                </c:pt>
                <c:pt idx="3">
                  <c:v>33.879999999999995</c:v>
                </c:pt>
              </c:numCache>
            </c:numRef>
          </c:yVal>
          <c:smooth val="0"/>
          <c:extLst>
            <c:ext xmlns:c16="http://schemas.microsoft.com/office/drawing/2014/chart" uri="{C3380CC4-5D6E-409C-BE32-E72D297353CC}">
              <c16:uniqueId val="{00000002-78D2-49D5-A403-46D07D46C35A}"/>
            </c:ext>
          </c:extLst>
        </c:ser>
        <c:ser>
          <c:idx val="3"/>
          <c:order val="3"/>
          <c:tx>
            <c:strRef>
              <c:f>'R11-R14,R21-R23'!$H$75</c:f>
              <c:strCache>
                <c:ptCount val="1"/>
                <c:pt idx="0">
                  <c:v>Case R11e (p=5%)</c:v>
                </c:pt>
              </c:strCache>
            </c:strRef>
          </c:tx>
          <c:spPr>
            <a:ln w="38100" cap="rnd">
              <a:solidFill>
                <a:schemeClr val="accent4"/>
              </a:solidFill>
              <a:round/>
              <a:tailEnd type="triangle"/>
            </a:ln>
            <a:effectLst/>
          </c:spPr>
          <c:marker>
            <c:symbol val="none"/>
          </c:marker>
          <c:xVal>
            <c:numRef>
              <c:f>'R11-R14,R21-R23'!$X$89:$Y$89</c:f>
              <c:numCache>
                <c:formatCode>General</c:formatCode>
                <c:ptCount val="2"/>
                <c:pt idx="0">
                  <c:v>0.05</c:v>
                </c:pt>
                <c:pt idx="1">
                  <c:v>0.05</c:v>
                </c:pt>
              </c:numCache>
            </c:numRef>
          </c:xVal>
          <c:yVal>
            <c:numRef>
              <c:f>'R11-R14,R21-R23'!$X$90:$Y$90</c:f>
              <c:numCache>
                <c:formatCode>0.0</c:formatCode>
                <c:ptCount val="2"/>
                <c:pt idx="0">
                  <c:v>0</c:v>
                </c:pt>
                <c:pt idx="1">
                  <c:v>17.68</c:v>
                </c:pt>
              </c:numCache>
            </c:numRef>
          </c:yVal>
          <c:smooth val="0"/>
          <c:extLst>
            <c:ext xmlns:c16="http://schemas.microsoft.com/office/drawing/2014/chart" uri="{C3380CC4-5D6E-409C-BE32-E72D297353CC}">
              <c16:uniqueId val="{00000003-78D2-49D5-A403-46D07D46C35A}"/>
            </c:ext>
          </c:extLst>
        </c:ser>
        <c:ser>
          <c:idx val="4"/>
          <c:order val="4"/>
          <c:tx>
            <c:strRef>
              <c:f>'R11-R14,R21-R23'!$G$71</c:f>
              <c:strCache>
                <c:ptCount val="1"/>
                <c:pt idx="0">
                  <c:v>Testing threshold (0.55%)</c:v>
                </c:pt>
              </c:strCache>
            </c:strRef>
          </c:tx>
          <c:spPr>
            <a:ln w="25400" cap="rnd">
              <a:solidFill>
                <a:schemeClr val="accent5"/>
              </a:solidFill>
              <a:prstDash val="sysDot"/>
              <a:round/>
            </a:ln>
            <a:effectLst/>
          </c:spPr>
          <c:marker>
            <c:symbol val="none"/>
          </c:marker>
          <c:xVal>
            <c:numRef>
              <c:f>'R11-R14,R21-R23'!$X$77:$Y$77</c:f>
              <c:numCache>
                <c:formatCode>0.0000</c:formatCode>
                <c:ptCount val="2"/>
                <c:pt idx="0">
                  <c:v>5.5316271630071242E-3</c:v>
                </c:pt>
                <c:pt idx="1">
                  <c:v>5.5316271630071242E-3</c:v>
                </c:pt>
              </c:numCache>
            </c:numRef>
          </c:xVal>
          <c:yVal>
            <c:numRef>
              <c:f>'R11-R14,R21-R23'!$X$78:$Y$78</c:f>
              <c:numCache>
                <c:formatCode>0.0</c:formatCode>
                <c:ptCount val="2"/>
                <c:pt idx="0">
                  <c:v>0</c:v>
                </c:pt>
                <c:pt idx="1">
                  <c:v>4.7658135815035623</c:v>
                </c:pt>
              </c:numCache>
            </c:numRef>
          </c:yVal>
          <c:smooth val="0"/>
          <c:extLst>
            <c:ext xmlns:c16="http://schemas.microsoft.com/office/drawing/2014/chart" uri="{C3380CC4-5D6E-409C-BE32-E72D297353CC}">
              <c16:uniqueId val="{00000004-78D2-49D5-A403-46D07D46C35A}"/>
            </c:ext>
          </c:extLst>
        </c:ser>
        <c:ser>
          <c:idx val="5"/>
          <c:order val="5"/>
          <c:tx>
            <c:strRef>
              <c:f>'R11-R14,R21-R23'!$G$72</c:f>
              <c:strCache>
                <c:ptCount val="1"/>
                <c:pt idx="0">
                  <c:v>Treatment threshold(3.31%)</c:v>
                </c:pt>
              </c:strCache>
            </c:strRef>
          </c:tx>
          <c:spPr>
            <a:ln w="25400" cap="rnd">
              <a:solidFill>
                <a:srgbClr val="7030A0"/>
              </a:solidFill>
              <a:prstDash val="sysDot"/>
              <a:round/>
            </a:ln>
            <a:effectLst/>
          </c:spPr>
          <c:marker>
            <c:symbol val="none"/>
          </c:marker>
          <c:xVal>
            <c:numRef>
              <c:f>'R11-R14,R21-R23'!$X$83:$Y$83</c:f>
              <c:numCache>
                <c:formatCode>0.0000</c:formatCode>
                <c:ptCount val="2"/>
                <c:pt idx="0">
                  <c:v>3.3079130434782611E-2</c:v>
                </c:pt>
                <c:pt idx="1">
                  <c:v>3.3079130434782611E-2</c:v>
                </c:pt>
              </c:numCache>
            </c:numRef>
          </c:xVal>
          <c:yVal>
            <c:numRef>
              <c:f>'R11-R14,R21-R23'!$X$84:$Y$84</c:f>
              <c:numCache>
                <c:formatCode>0.0</c:formatCode>
                <c:ptCount val="2"/>
                <c:pt idx="0">
                  <c:v>0</c:v>
                </c:pt>
                <c:pt idx="1">
                  <c:v>13.111365217391304</c:v>
                </c:pt>
              </c:numCache>
            </c:numRef>
          </c:yVal>
          <c:smooth val="0"/>
          <c:extLst>
            <c:ext xmlns:c16="http://schemas.microsoft.com/office/drawing/2014/chart" uri="{C3380CC4-5D6E-409C-BE32-E72D297353CC}">
              <c16:uniqueId val="{00000005-78D2-49D5-A403-46D07D46C35A}"/>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'R1-R10'!$P$57:$R$57</c:f>
              <c:strCache>
                <c:ptCount val="3"/>
                <c:pt idx="0">
                  <c:v>Weighted Average  (VTE + major bleeding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0.130529717020718"/>
          <c:y val="6.6614846221145427E-2"/>
          <c:w val="0.76437425264535341"/>
          <c:h val="0.10265187306132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lumMod val="65000"/>
                    <a:lumOff val="35000"/>
                  </a:sysClr>
                </a:solidFill>
              </a:rPr>
              <a:t>Expected Regret</a:t>
            </a:r>
          </a:p>
        </c:rich>
      </c:tx>
      <c:layout>
        <c:manualLayout>
          <c:xMode val="edge"/>
          <c:yMode val="edge"/>
          <c:x val="0.3878786565330390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6640957743648323E-2"/>
          <c:y val="0.18850112686663631"/>
          <c:w val="0.86265497092193011"/>
          <c:h val="0.68522169204224204"/>
        </c:manualLayout>
      </c:layout>
      <c:scatterChart>
        <c:scatterStyle val="lineMarker"/>
        <c:varyColors val="0"/>
        <c:ser>
          <c:idx val="0"/>
          <c:order val="0"/>
          <c:tx>
            <c:strRef>
              <c:f>'R11-R14,R21-R23'!$S$77</c:f>
              <c:strCache>
                <c:ptCount val="1"/>
                <c:pt idx="0">
                  <c:v>NoRx</c:v>
                </c:pt>
              </c:strCache>
            </c:strRef>
          </c:tx>
          <c:spPr>
            <a:ln w="31750" cap="rnd">
              <a:solidFill>
                <a:schemeClr val="accent6"/>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'R11-R14,R21-R23'!$S$78:$S$81</c:f>
              <c:numCache>
                <c:formatCode>0.00000</c:formatCode>
                <c:ptCount val="4"/>
                <c:pt idx="0">
                  <c:v>0</c:v>
                </c:pt>
                <c:pt idx="1">
                  <c:v>0</c:v>
                </c:pt>
                <c:pt idx="2">
                  <c:v>5.4282000000000021</c:v>
                </c:pt>
                <c:pt idx="3">
                  <c:v>23.120000000000005</c:v>
                </c:pt>
              </c:numCache>
            </c:numRef>
          </c:yVal>
          <c:smooth val="0"/>
          <c:extLst>
            <c:ext xmlns:c16="http://schemas.microsoft.com/office/drawing/2014/chart" uri="{C3380CC4-5D6E-409C-BE32-E72D297353CC}">
              <c16:uniqueId val="{00000000-5ECD-4C15-A83C-BDDD7683FA7F}"/>
            </c:ext>
          </c:extLst>
        </c:ser>
        <c:ser>
          <c:idx val="1"/>
          <c:order val="1"/>
          <c:tx>
            <c:strRef>
              <c:f>'R11-R14,R21-R23'!$T$77</c:f>
              <c:strCache>
                <c:ptCount val="1"/>
                <c:pt idx="0">
                  <c:v>Test</c:v>
                </c:pt>
              </c:strCache>
            </c:strRef>
          </c:tx>
          <c:spPr>
            <a:ln w="31750" cap="rnd">
              <a:solidFill>
                <a:srgbClr val="F329E9"/>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'R11-R14,R21-R23'!$T$78:$T$81</c:f>
              <c:numCache>
                <c:formatCode>0.00000</c:formatCode>
                <c:ptCount val="4"/>
                <c:pt idx="0">
                  <c:v>1.0702951289398279</c:v>
                </c:pt>
                <c:pt idx="1">
                  <c:v>0</c:v>
                </c:pt>
                <c:pt idx="2">
                  <c:v>0</c:v>
                </c:pt>
                <c:pt idx="3">
                  <c:v>2.5346418338108947</c:v>
                </c:pt>
              </c:numCache>
            </c:numRef>
          </c:yVal>
          <c:smooth val="0"/>
          <c:extLst>
            <c:ext xmlns:c16="http://schemas.microsoft.com/office/drawing/2014/chart" uri="{C3380CC4-5D6E-409C-BE32-E72D297353CC}">
              <c16:uniqueId val="{00000001-5ECD-4C15-A83C-BDDD7683FA7F}"/>
            </c:ext>
          </c:extLst>
        </c:ser>
        <c:ser>
          <c:idx val="2"/>
          <c:order val="2"/>
          <c:tx>
            <c:strRef>
              <c:f>'R11-R14,R21-R23'!$U$77</c:f>
              <c:strCache>
                <c:ptCount val="1"/>
                <c:pt idx="0">
                  <c:v>Rx</c:v>
                </c:pt>
              </c:strCache>
            </c:strRef>
          </c:tx>
          <c:spPr>
            <a:ln w="31750" cap="rnd">
              <a:solidFill>
                <a:srgbClr val="FF0000"/>
              </a:solidFill>
              <a:round/>
            </a:ln>
            <a:effectLst/>
          </c:spPr>
          <c:marker>
            <c:symbol val="none"/>
          </c:marker>
          <c:xVal>
            <c:numRef>
              <c:f>'R11-R14,R21-R23'!$I$78:$I$81</c:f>
              <c:numCache>
                <c:formatCode>0.0000</c:formatCode>
                <c:ptCount val="4"/>
                <c:pt idx="0">
                  <c:v>1E-4</c:v>
                </c:pt>
                <c:pt idx="1">
                  <c:v>5.5316271630071242E-3</c:v>
                </c:pt>
                <c:pt idx="2">
                  <c:v>3.3079130434782611E-2</c:v>
                </c:pt>
                <c:pt idx="3">
                  <c:v>0.11</c:v>
                </c:pt>
              </c:numCache>
            </c:numRef>
          </c:xVal>
          <c:yVal>
            <c:numRef>
              <c:f>'R11-R14,R21-R23'!$U$78:$U$81</c:f>
              <c:numCache>
                <c:formatCode>0.00000</c:formatCode>
                <c:ptCount val="4"/>
                <c:pt idx="0">
                  <c:v>2.157</c:v>
                </c:pt>
                <c:pt idx="1">
                  <c:v>0.90772575250836152</c:v>
                </c:pt>
                <c:pt idx="2">
                  <c:v>0</c:v>
                </c:pt>
                <c:pt idx="3">
                  <c:v>0</c:v>
                </c:pt>
              </c:numCache>
            </c:numRef>
          </c:yVal>
          <c:smooth val="0"/>
          <c:extLst>
            <c:ext xmlns:c16="http://schemas.microsoft.com/office/drawing/2014/chart" uri="{C3380CC4-5D6E-409C-BE32-E72D297353CC}">
              <c16:uniqueId val="{00000002-5ECD-4C15-A83C-BDDD7683FA7F}"/>
            </c:ext>
          </c:extLst>
        </c:ser>
        <c:ser>
          <c:idx val="3"/>
          <c:order val="3"/>
          <c:tx>
            <c:strRef>
              <c:f>'R11-R14,R21-R23'!$X$88</c:f>
              <c:strCache>
                <c:ptCount val="1"/>
                <c:pt idx="0">
                  <c:v>Case R11e (p=5%)</c:v>
                </c:pt>
              </c:strCache>
            </c:strRef>
          </c:tx>
          <c:spPr>
            <a:ln w="38100" cap="rnd">
              <a:solidFill>
                <a:schemeClr val="accent4"/>
              </a:solidFill>
              <a:round/>
              <a:tailEnd type="triangle"/>
            </a:ln>
            <a:effectLst/>
          </c:spPr>
          <c:marker>
            <c:symbol val="none"/>
          </c:marker>
          <c:xVal>
            <c:numRef>
              <c:f>'R11-R14,R21-R23'!$X$89:$Y$89</c:f>
              <c:numCache>
                <c:formatCode>General</c:formatCode>
                <c:ptCount val="2"/>
                <c:pt idx="0">
                  <c:v>0.05</c:v>
                </c:pt>
                <c:pt idx="1">
                  <c:v>0.05</c:v>
                </c:pt>
              </c:numCache>
            </c:numRef>
          </c:xVal>
          <c:yVal>
            <c:numRef>
              <c:f>'R11-R14,R21-R23'!$X$91:$Y$91</c:f>
              <c:numCache>
                <c:formatCode>0.0</c:formatCode>
                <c:ptCount val="2"/>
                <c:pt idx="0">
                  <c:v>0</c:v>
                </c:pt>
                <c:pt idx="1">
                  <c:v>5</c:v>
                </c:pt>
              </c:numCache>
            </c:numRef>
          </c:yVal>
          <c:smooth val="0"/>
          <c:extLst>
            <c:ext xmlns:c16="http://schemas.microsoft.com/office/drawing/2014/chart" uri="{C3380CC4-5D6E-409C-BE32-E72D297353CC}">
              <c16:uniqueId val="{00000003-5ECD-4C15-A83C-BDDD7683FA7F}"/>
            </c:ext>
          </c:extLst>
        </c:ser>
        <c:ser>
          <c:idx val="4"/>
          <c:order val="4"/>
          <c:tx>
            <c:strRef>
              <c:f>'R11-R14,R21-R23'!$G$71</c:f>
              <c:strCache>
                <c:ptCount val="1"/>
                <c:pt idx="0">
                  <c:v>Testing threshold (0.55%)</c:v>
                </c:pt>
              </c:strCache>
            </c:strRef>
          </c:tx>
          <c:spPr>
            <a:ln w="25400" cap="rnd">
              <a:solidFill>
                <a:schemeClr val="accent5"/>
              </a:solidFill>
              <a:prstDash val="sysDot"/>
              <a:round/>
            </a:ln>
            <a:effectLst/>
          </c:spPr>
          <c:marker>
            <c:symbol val="none"/>
          </c:marker>
          <c:xVal>
            <c:numRef>
              <c:f>'R11-R14,R21-R23'!$X$77:$Y$77</c:f>
              <c:numCache>
                <c:formatCode>0.0000</c:formatCode>
                <c:ptCount val="2"/>
                <c:pt idx="0">
                  <c:v>5.5316271630071242E-3</c:v>
                </c:pt>
                <c:pt idx="1">
                  <c:v>5.5316271630071242E-3</c:v>
                </c:pt>
              </c:numCache>
            </c:numRef>
          </c:xVal>
          <c:yVal>
            <c:numRef>
              <c:f>'R11-R14,R21-R23'!$X$79:$Y$79</c:f>
              <c:numCache>
                <c:formatCode>0.000</c:formatCode>
                <c:ptCount val="2"/>
                <c:pt idx="0" formatCode="0.0">
                  <c:v>0</c:v>
                </c:pt>
                <c:pt idx="1">
                  <c:v>5</c:v>
                </c:pt>
              </c:numCache>
            </c:numRef>
          </c:yVal>
          <c:smooth val="0"/>
          <c:extLst>
            <c:ext xmlns:c16="http://schemas.microsoft.com/office/drawing/2014/chart" uri="{C3380CC4-5D6E-409C-BE32-E72D297353CC}">
              <c16:uniqueId val="{00000004-5ECD-4C15-A83C-BDDD7683FA7F}"/>
            </c:ext>
          </c:extLst>
        </c:ser>
        <c:ser>
          <c:idx val="5"/>
          <c:order val="5"/>
          <c:tx>
            <c:strRef>
              <c:f>'R11-R14,R21-R23'!$G$72</c:f>
              <c:strCache>
                <c:ptCount val="1"/>
                <c:pt idx="0">
                  <c:v>Treatment threshold(3.31%)</c:v>
                </c:pt>
              </c:strCache>
            </c:strRef>
          </c:tx>
          <c:spPr>
            <a:ln w="25400" cap="rnd">
              <a:solidFill>
                <a:srgbClr val="7030A0"/>
              </a:solidFill>
              <a:prstDash val="sysDot"/>
              <a:round/>
            </a:ln>
            <a:effectLst/>
          </c:spPr>
          <c:marker>
            <c:symbol val="none"/>
          </c:marker>
          <c:xVal>
            <c:numRef>
              <c:f>'R11-R14,R21-R23'!$X$83:$Y$83</c:f>
              <c:numCache>
                <c:formatCode>0.0000</c:formatCode>
                <c:ptCount val="2"/>
                <c:pt idx="0">
                  <c:v>3.3079130434782611E-2</c:v>
                </c:pt>
                <c:pt idx="1">
                  <c:v>3.3079130434782611E-2</c:v>
                </c:pt>
              </c:numCache>
            </c:numRef>
          </c:xVal>
          <c:yVal>
            <c:numRef>
              <c:f>'R11-R14,R21-R23'!$X$85:$Y$85</c:f>
              <c:numCache>
                <c:formatCode>0.0</c:formatCode>
                <c:ptCount val="2"/>
                <c:pt idx="0">
                  <c:v>0</c:v>
                </c:pt>
                <c:pt idx="1">
                  <c:v>5</c:v>
                </c:pt>
              </c:numCache>
            </c:numRef>
          </c:yVal>
          <c:smooth val="0"/>
          <c:extLst>
            <c:ext xmlns:c16="http://schemas.microsoft.com/office/drawing/2014/chart" uri="{C3380CC4-5D6E-409C-BE32-E72D297353CC}">
              <c16:uniqueId val="{00000005-5ECD-4C15-A83C-BDDD7683FA7F}"/>
            </c:ext>
          </c:extLst>
        </c:ser>
        <c:ser>
          <c:idx val="6"/>
          <c:order val="6"/>
          <c:tx>
            <c:strRef>
              <c:f>'R11-R14,R21-R23'!$W$69</c:f>
              <c:strCache>
                <c:ptCount val="1"/>
                <c:pt idx="0">
                  <c:v>Acceptable regret (Rg = 5)</c:v>
                </c:pt>
              </c:strCache>
            </c:strRef>
          </c:tx>
          <c:spPr>
            <a:ln w="19050" cap="rnd">
              <a:solidFill>
                <a:schemeClr val="accent1">
                  <a:lumMod val="60000"/>
                </a:schemeClr>
              </a:solidFill>
              <a:round/>
            </a:ln>
            <a:effectLst/>
          </c:spPr>
          <c:marker>
            <c:symbol val="none"/>
          </c:marker>
          <c:xVal>
            <c:numRef>
              <c:f>'R11-R14,R21-R23'!$X$70:$Y$70</c:f>
              <c:numCache>
                <c:formatCode>General</c:formatCode>
                <c:ptCount val="2"/>
                <c:pt idx="0">
                  <c:v>1E-4</c:v>
                </c:pt>
                <c:pt idx="1">
                  <c:v>0.11</c:v>
                </c:pt>
              </c:numCache>
            </c:numRef>
          </c:xVal>
          <c:yVal>
            <c:numRef>
              <c:f>'R11-R14,R21-R23'!$X$71:$Y$71</c:f>
              <c:numCache>
                <c:formatCode>General</c:formatCode>
                <c:ptCount val="2"/>
                <c:pt idx="0">
                  <c:v>5</c:v>
                </c:pt>
                <c:pt idx="1">
                  <c:v>5</c:v>
                </c:pt>
              </c:numCache>
            </c:numRef>
          </c:yVal>
          <c:smooth val="0"/>
          <c:extLst>
            <c:ext xmlns:c16="http://schemas.microsoft.com/office/drawing/2014/chart" uri="{C3380CC4-5D6E-409C-BE32-E72D297353CC}">
              <c16:uniqueId val="{00000006-5ECD-4C15-A83C-BDDD7683FA7F}"/>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minorUnit val="2.0000000000000004E-2"/>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'R1-R10'!$S$57:$U$57</c:f>
              <c:strCache>
                <c:ptCount val="3"/>
                <c:pt idx="0">
                  <c:v>Regret - Weighted Average  (VTE + major bleeding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5.0463198360926297E-2"/>
          <c:y val="6.2482478769382947E-2"/>
          <c:w val="0.93747914065326221"/>
          <c:h val="0.11267402472126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Expected Regret</a:t>
            </a:r>
          </a:p>
        </c:rich>
      </c:tx>
      <c:layout>
        <c:manualLayout>
          <c:xMode val="edge"/>
          <c:yMode val="edge"/>
          <c:x val="0.35092944071288412"/>
          <c:y val="6.0331825037707393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205189096475315"/>
          <c:y val="0.18099690027434351"/>
          <c:w val="0.81432219250104854"/>
          <c:h val="0.6852977993135474"/>
        </c:manualLayout>
      </c:layout>
      <c:scatterChart>
        <c:scatterStyle val="lineMarker"/>
        <c:varyColors val="0"/>
        <c:ser>
          <c:idx val="0"/>
          <c:order val="0"/>
          <c:tx>
            <c:strRef>
              <c:f>'R15-R20'!$S$75</c:f>
              <c:strCache>
                <c:ptCount val="1"/>
                <c:pt idx="0">
                  <c:v>NoRx</c:v>
                </c:pt>
              </c:strCache>
            </c:strRef>
          </c:tx>
          <c:spPr>
            <a:ln w="31750" cap="rnd">
              <a:solidFill>
                <a:schemeClr val="accent6"/>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'R15-R20'!$S$76:$S$79</c:f>
              <c:numCache>
                <c:formatCode>0.00</c:formatCode>
                <c:ptCount val="4"/>
                <c:pt idx="0">
                  <c:v>129.03899999999999</c:v>
                </c:pt>
                <c:pt idx="1">
                  <c:v>53.447400000000016</c:v>
                </c:pt>
                <c:pt idx="2">
                  <c:v>53.447400000000016</c:v>
                </c:pt>
                <c:pt idx="3">
                  <c:v>61.999999999999972</c:v>
                </c:pt>
              </c:numCache>
            </c:numRef>
          </c:yVal>
          <c:smooth val="0"/>
          <c:extLst>
            <c:ext xmlns:c16="http://schemas.microsoft.com/office/drawing/2014/chart" uri="{C3380CC4-5D6E-409C-BE32-E72D297353CC}">
              <c16:uniqueId val="{00000000-BEDB-49C9-AB62-5369AA8C43FD}"/>
            </c:ext>
          </c:extLst>
        </c:ser>
        <c:ser>
          <c:idx val="1"/>
          <c:order val="1"/>
          <c:tx>
            <c:strRef>
              <c:f>'R15-R20'!$T$75</c:f>
              <c:strCache>
                <c:ptCount val="1"/>
                <c:pt idx="0">
                  <c:v>Test</c:v>
                </c:pt>
              </c:strCache>
            </c:strRef>
          </c:tx>
          <c:spPr>
            <a:ln w="31750" cap="rnd">
              <a:solidFill>
                <a:srgbClr val="F329E9"/>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'R15-R20'!$T$76:$T$79</c:f>
              <c:numCache>
                <c:formatCode>0.00</c:formatCode>
                <c:ptCount val="4"/>
                <c:pt idx="0">
                  <c:v>8.8362194539249259</c:v>
                </c:pt>
                <c:pt idx="1">
                  <c:v>0</c:v>
                </c:pt>
                <c:pt idx="2">
                  <c:v>0</c:v>
                </c:pt>
                <c:pt idx="3">
                  <c:v>0.9997493174061276</c:v>
                </c:pt>
              </c:numCache>
            </c:numRef>
          </c:yVal>
          <c:smooth val="0"/>
          <c:extLst>
            <c:ext xmlns:c16="http://schemas.microsoft.com/office/drawing/2014/chart" uri="{C3380CC4-5D6E-409C-BE32-E72D297353CC}">
              <c16:uniqueId val="{00000001-BEDB-49C9-AB62-5369AA8C43FD}"/>
            </c:ext>
          </c:extLst>
        </c:ser>
        <c:ser>
          <c:idx val="2"/>
          <c:order val="2"/>
          <c:tx>
            <c:strRef>
              <c:f>'R15-R20'!$R$75</c:f>
              <c:strCache>
                <c:ptCount val="1"/>
                <c:pt idx="0">
                  <c:v>Rx</c:v>
                </c:pt>
              </c:strCache>
            </c:strRef>
          </c:tx>
          <c:spPr>
            <a:ln w="31750" cap="rnd">
              <a:solidFill>
                <a:srgbClr val="FF0000"/>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'R15-R20'!$U$76:$U$79</c:f>
              <c:numCache>
                <c:formatCode>0.00</c:formatCode>
                <c:ptCount val="4"/>
                <c:pt idx="0">
                  <c:v>0</c:v>
                </c:pt>
                <c:pt idx="1">
                  <c:v>0</c:v>
                </c:pt>
                <c:pt idx="2">
                  <c:v>0</c:v>
                </c:pt>
                <c:pt idx="3">
                  <c:v>0</c:v>
                </c:pt>
              </c:numCache>
            </c:numRef>
          </c:yVal>
          <c:smooth val="0"/>
          <c:extLst>
            <c:ext xmlns:c16="http://schemas.microsoft.com/office/drawing/2014/chart" uri="{C3380CC4-5D6E-409C-BE32-E72D297353CC}">
              <c16:uniqueId val="{00000002-BEDB-49C9-AB62-5369AA8C43FD}"/>
            </c:ext>
          </c:extLst>
        </c:ser>
        <c:ser>
          <c:idx val="3"/>
          <c:order val="3"/>
          <c:tx>
            <c:strRef>
              <c:f>'R15-R20'!$X$86</c:f>
              <c:strCache>
                <c:ptCount val="1"/>
                <c:pt idx="0">
                  <c:v>Case R16a (p=0.2%)</c:v>
                </c:pt>
              </c:strCache>
            </c:strRef>
          </c:tx>
          <c:spPr>
            <a:ln w="38100" cap="rnd">
              <a:solidFill>
                <a:schemeClr val="accent4"/>
              </a:solidFill>
              <a:round/>
              <a:tailEnd type="triangle"/>
            </a:ln>
            <a:effectLst/>
          </c:spPr>
          <c:marker>
            <c:symbol val="none"/>
          </c:marker>
          <c:xVal>
            <c:numRef>
              <c:f>'R15-R20'!$X$87:$Y$87</c:f>
              <c:numCache>
                <c:formatCode>General</c:formatCode>
                <c:ptCount val="2"/>
                <c:pt idx="0">
                  <c:v>2E-3</c:v>
                </c:pt>
                <c:pt idx="1">
                  <c:v>2E-3</c:v>
                </c:pt>
              </c:numCache>
            </c:numRef>
          </c:xVal>
          <c:yVal>
            <c:numRef>
              <c:f>'R15-R20'!$X$89:$Y$89</c:f>
              <c:numCache>
                <c:formatCode>0.0</c:formatCode>
                <c:ptCount val="2"/>
                <c:pt idx="0">
                  <c:v>0</c:v>
                </c:pt>
                <c:pt idx="1">
                  <c:v>5</c:v>
                </c:pt>
              </c:numCache>
            </c:numRef>
          </c:yVal>
          <c:smooth val="0"/>
          <c:extLst>
            <c:ext xmlns:c16="http://schemas.microsoft.com/office/drawing/2014/chart" uri="{C3380CC4-5D6E-409C-BE32-E72D297353CC}">
              <c16:uniqueId val="{00000003-BEDB-49C9-AB62-5369AA8C43FD}"/>
            </c:ext>
          </c:extLst>
        </c:ser>
        <c:ser>
          <c:idx val="4"/>
          <c:order val="4"/>
          <c:tx>
            <c:strRef>
              <c:f>'R15-R20'!$X$80</c:f>
              <c:strCache>
                <c:ptCount val="1"/>
                <c:pt idx="0">
                  <c:v>Testing threshold (22.32%)</c:v>
                </c:pt>
              </c:strCache>
            </c:strRef>
          </c:tx>
          <c:spPr>
            <a:ln w="25400" cap="rnd">
              <a:solidFill>
                <a:srgbClr val="C00000"/>
              </a:solidFill>
              <a:prstDash val="sysDot"/>
              <a:round/>
            </a:ln>
            <a:effectLst/>
          </c:spPr>
          <c:marker>
            <c:symbol val="none"/>
          </c:marker>
          <c:xVal>
            <c:numRef>
              <c:f>'R15-R20'!$X$81:$Y$81</c:f>
              <c:numCache>
                <c:formatCode>0.0000</c:formatCode>
                <c:ptCount val="2"/>
                <c:pt idx="0">
                  <c:v>0.22323718032786879</c:v>
                </c:pt>
                <c:pt idx="1">
                  <c:v>0.22323718032786879</c:v>
                </c:pt>
              </c:numCache>
            </c:numRef>
          </c:xVal>
          <c:yVal>
            <c:numRef>
              <c:f>'R15-R20'!$X$83:$Y$83</c:f>
              <c:numCache>
                <c:formatCode>0.0</c:formatCode>
                <c:ptCount val="2"/>
                <c:pt idx="0">
                  <c:v>0</c:v>
                </c:pt>
                <c:pt idx="1">
                  <c:v>5</c:v>
                </c:pt>
              </c:numCache>
            </c:numRef>
          </c:yVal>
          <c:smooth val="0"/>
          <c:extLst>
            <c:ext xmlns:c16="http://schemas.microsoft.com/office/drawing/2014/chart" uri="{C3380CC4-5D6E-409C-BE32-E72D297353CC}">
              <c16:uniqueId val="{00000004-BEDB-49C9-AB62-5369AA8C43FD}"/>
            </c:ext>
          </c:extLst>
        </c:ser>
        <c:ser>
          <c:idx val="5"/>
          <c:order val="5"/>
          <c:tx>
            <c:strRef>
              <c:f>'R15-R20'!$X$74</c:f>
              <c:strCache>
                <c:ptCount val="1"/>
                <c:pt idx="0">
                  <c:v>Treatment threshold(12.4%)</c:v>
                </c:pt>
              </c:strCache>
            </c:strRef>
          </c:tx>
          <c:spPr>
            <a:ln w="25400" cap="rnd">
              <a:solidFill>
                <a:srgbClr val="7030A0"/>
              </a:solidFill>
              <a:prstDash val="sysDot"/>
              <a:round/>
            </a:ln>
            <a:effectLst/>
          </c:spPr>
          <c:marker>
            <c:symbol val="none"/>
          </c:marker>
          <c:xVal>
            <c:numRef>
              <c:f>'R15-R20'!$X$75:$Y$75</c:f>
              <c:numCache>
                <c:formatCode>0.0000</c:formatCode>
                <c:ptCount val="2"/>
                <c:pt idx="0">
                  <c:v>0.12402065573770488</c:v>
                </c:pt>
                <c:pt idx="1">
                  <c:v>0.12402065573770488</c:v>
                </c:pt>
              </c:numCache>
            </c:numRef>
          </c:xVal>
          <c:yVal>
            <c:numRef>
              <c:f>'R15-R20'!$X$77:$Y$77</c:f>
              <c:numCache>
                <c:formatCode>0.000</c:formatCode>
                <c:ptCount val="2"/>
                <c:pt idx="0" formatCode="0.0">
                  <c:v>0</c:v>
                </c:pt>
                <c:pt idx="1">
                  <c:v>5</c:v>
                </c:pt>
              </c:numCache>
            </c:numRef>
          </c:yVal>
          <c:smooth val="0"/>
          <c:extLst>
            <c:ext xmlns:c16="http://schemas.microsoft.com/office/drawing/2014/chart" uri="{C3380CC4-5D6E-409C-BE32-E72D297353CC}">
              <c16:uniqueId val="{00000005-BEDB-49C9-AB62-5369AA8C43FD}"/>
            </c:ext>
          </c:extLst>
        </c:ser>
        <c:ser>
          <c:idx val="6"/>
          <c:order val="6"/>
          <c:tx>
            <c:strRef>
              <c:f>'R15-R20'!$W$67</c:f>
              <c:strCache>
                <c:ptCount val="1"/>
                <c:pt idx="0">
                  <c:v>Acceptable regret (Rg = 5)</c:v>
                </c:pt>
              </c:strCache>
            </c:strRef>
          </c:tx>
          <c:spPr>
            <a:ln w="19050" cap="rnd">
              <a:solidFill>
                <a:schemeClr val="accent1">
                  <a:lumMod val="60000"/>
                </a:schemeClr>
              </a:solidFill>
              <a:round/>
            </a:ln>
            <a:effectLst/>
          </c:spPr>
          <c:marker>
            <c:symbol val="none"/>
          </c:marker>
          <c:xVal>
            <c:numRef>
              <c:f>'R15-R20'!$X$68:$Y$68</c:f>
              <c:numCache>
                <c:formatCode>General</c:formatCode>
                <c:ptCount val="2"/>
                <c:pt idx="0">
                  <c:v>1E-4</c:v>
                </c:pt>
                <c:pt idx="1">
                  <c:v>0.21163934426229503</c:v>
                </c:pt>
              </c:numCache>
            </c:numRef>
          </c:xVal>
          <c:yVal>
            <c:numRef>
              <c:f>'R15-R20'!$X$69:$Y$69</c:f>
              <c:numCache>
                <c:formatCode>General</c:formatCode>
                <c:ptCount val="2"/>
                <c:pt idx="0">
                  <c:v>5</c:v>
                </c:pt>
                <c:pt idx="1">
                  <c:v>5</c:v>
                </c:pt>
              </c:numCache>
            </c:numRef>
          </c:yVal>
          <c:smooth val="0"/>
          <c:extLst>
            <c:ext xmlns:c16="http://schemas.microsoft.com/office/drawing/2014/chart" uri="{C3380CC4-5D6E-409C-BE32-E72D297353CC}">
              <c16:uniqueId val="{00000006-BEDB-49C9-AB62-5369AA8C43FD}"/>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minorUnit val="2.0000000000000004E-2"/>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'R15-R20'!$S$74:$U$74</c:f>
              <c:strCache>
                <c:ptCount val="3"/>
                <c:pt idx="0">
                  <c:v>Regret - Weighted Average  (VTE + severe symptoms of the menopause)</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6.6396495716410488E-3"/>
          <c:y val="6.1888338618306206E-2"/>
          <c:w val="0.98334522039737071"/>
          <c:h val="0.116696238762009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Expected Utility </a:t>
            </a:r>
          </a:p>
        </c:rich>
      </c:tx>
      <c:layout>
        <c:manualLayout>
          <c:xMode val="edge"/>
          <c:yMode val="edge"/>
          <c:x val="0.36805983008469118"/>
          <c:y val="1.814058956916099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214275507825127E-2"/>
          <c:y val="0.18192225971753528"/>
          <c:w val="0.86276184674623413"/>
          <c:h val="0.69180042970819133"/>
        </c:manualLayout>
      </c:layout>
      <c:scatterChart>
        <c:scatterStyle val="lineMarker"/>
        <c:varyColors val="0"/>
        <c:ser>
          <c:idx val="0"/>
          <c:order val="0"/>
          <c:tx>
            <c:strRef>
              <c:f>'R15-R20'!$P$75</c:f>
              <c:strCache>
                <c:ptCount val="1"/>
                <c:pt idx="0">
                  <c:v>NoRx</c:v>
                </c:pt>
              </c:strCache>
            </c:strRef>
          </c:tx>
          <c:spPr>
            <a:ln w="31750" cap="rnd">
              <a:solidFill>
                <a:schemeClr val="accent6"/>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'R15-R20'!$P$76:$P$79</c:f>
              <c:numCache>
                <c:formatCode>0.00</c:formatCode>
                <c:ptCount val="4"/>
                <c:pt idx="0">
                  <c:v>183</c:v>
                </c:pt>
                <c:pt idx="1">
                  <c:v>244.96032786885243</c:v>
                </c:pt>
                <c:pt idx="2">
                  <c:v>244.96032786885243</c:v>
                </c:pt>
                <c:pt idx="3">
                  <c:v>237.95</c:v>
                </c:pt>
              </c:numCache>
            </c:numRef>
          </c:yVal>
          <c:smooth val="0"/>
          <c:extLst>
            <c:ext xmlns:c16="http://schemas.microsoft.com/office/drawing/2014/chart" uri="{C3380CC4-5D6E-409C-BE32-E72D297353CC}">
              <c16:uniqueId val="{00000000-E412-48CD-BD55-7B506069A3F5}"/>
            </c:ext>
          </c:extLst>
        </c:ser>
        <c:ser>
          <c:idx val="1"/>
          <c:order val="1"/>
          <c:tx>
            <c:strRef>
              <c:f>'R15-R20'!$Q$75</c:f>
              <c:strCache>
                <c:ptCount val="1"/>
                <c:pt idx="0">
                  <c:v>Test</c:v>
                </c:pt>
              </c:strCache>
            </c:strRef>
          </c:tx>
          <c:spPr>
            <a:ln w="31750" cap="rnd">
              <a:solidFill>
                <a:srgbClr val="F329E9"/>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'R15-R20'!$Q$76:$Q$79</c:f>
              <c:numCache>
                <c:formatCode>0.00</c:formatCode>
                <c:ptCount val="4"/>
                <c:pt idx="0">
                  <c:v>62.797219453924924</c:v>
                </c:pt>
                <c:pt idx="1">
                  <c:v>191.51292786885242</c:v>
                </c:pt>
                <c:pt idx="2">
                  <c:v>191.51292786885242</c:v>
                </c:pt>
                <c:pt idx="3">
                  <c:v>176.94974931740614</c:v>
                </c:pt>
              </c:numCache>
            </c:numRef>
          </c:yVal>
          <c:smooth val="0"/>
          <c:extLst>
            <c:ext xmlns:c16="http://schemas.microsoft.com/office/drawing/2014/chart" uri="{C3380CC4-5D6E-409C-BE32-E72D297353CC}">
              <c16:uniqueId val="{00000001-E412-48CD-BD55-7B506069A3F5}"/>
            </c:ext>
          </c:extLst>
        </c:ser>
        <c:ser>
          <c:idx val="2"/>
          <c:order val="2"/>
          <c:tx>
            <c:strRef>
              <c:f>'R15-R20'!$R$75</c:f>
              <c:strCache>
                <c:ptCount val="1"/>
                <c:pt idx="0">
                  <c:v>Rx</c:v>
                </c:pt>
              </c:strCache>
            </c:strRef>
          </c:tx>
          <c:spPr>
            <a:ln w="31750" cap="rnd">
              <a:solidFill>
                <a:srgbClr val="FF0000"/>
              </a:solidFill>
              <a:round/>
            </a:ln>
            <a:effectLst/>
          </c:spPr>
          <c:marker>
            <c:symbol val="none"/>
          </c:marker>
          <c:xVal>
            <c:numRef>
              <c:f>'R15-R20'!$I$76:$I$79</c:f>
              <c:numCache>
                <c:formatCode>0.0000</c:formatCode>
                <c:ptCount val="4"/>
                <c:pt idx="0">
                  <c:v>1E-4</c:v>
                </c:pt>
                <c:pt idx="1">
                  <c:v>0.12402065573770488</c:v>
                </c:pt>
                <c:pt idx="2">
                  <c:v>0.12402065573770488</c:v>
                </c:pt>
                <c:pt idx="3">
                  <c:v>0.11</c:v>
                </c:pt>
              </c:numCache>
            </c:numRef>
          </c:xVal>
          <c:yVal>
            <c:numRef>
              <c:f>'R15-R20'!$R$76:$R$79</c:f>
              <c:numCache>
                <c:formatCode>0.00</c:formatCode>
                <c:ptCount val="4"/>
                <c:pt idx="0">
                  <c:v>53.960999999999999</c:v>
                </c:pt>
                <c:pt idx="1">
                  <c:v>191.51292786885242</c:v>
                </c:pt>
                <c:pt idx="2">
                  <c:v>191.51292786885242</c:v>
                </c:pt>
                <c:pt idx="3">
                  <c:v>175.95000000000002</c:v>
                </c:pt>
              </c:numCache>
            </c:numRef>
          </c:yVal>
          <c:smooth val="0"/>
          <c:extLst>
            <c:ext xmlns:c16="http://schemas.microsoft.com/office/drawing/2014/chart" uri="{C3380CC4-5D6E-409C-BE32-E72D297353CC}">
              <c16:uniqueId val="{00000002-E412-48CD-BD55-7B506069A3F5}"/>
            </c:ext>
          </c:extLst>
        </c:ser>
        <c:ser>
          <c:idx val="3"/>
          <c:order val="3"/>
          <c:tx>
            <c:strRef>
              <c:f>'R15-R20'!$H$73</c:f>
              <c:strCache>
                <c:ptCount val="1"/>
                <c:pt idx="0">
                  <c:v>Case R16a (p=0.2%)</c:v>
                </c:pt>
              </c:strCache>
            </c:strRef>
          </c:tx>
          <c:spPr>
            <a:ln w="38100" cap="rnd">
              <a:solidFill>
                <a:schemeClr val="accent4"/>
              </a:solidFill>
              <a:round/>
              <a:tailEnd type="triangle"/>
            </a:ln>
            <a:effectLst/>
          </c:spPr>
          <c:marker>
            <c:symbol val="none"/>
          </c:marker>
          <c:xVal>
            <c:numRef>
              <c:f>'R15-R20'!$X$87:$Y$87</c:f>
              <c:numCache>
                <c:formatCode>General</c:formatCode>
                <c:ptCount val="2"/>
                <c:pt idx="0">
                  <c:v>2E-3</c:v>
                </c:pt>
                <c:pt idx="1">
                  <c:v>2E-3</c:v>
                </c:pt>
              </c:numCache>
            </c:numRef>
          </c:xVal>
          <c:yVal>
            <c:numRef>
              <c:f>'R15-R20'!$X$88:$Y$88</c:f>
              <c:numCache>
                <c:formatCode>0.0</c:formatCode>
                <c:ptCount val="2"/>
                <c:pt idx="0">
                  <c:v>0</c:v>
                </c:pt>
                <c:pt idx="1">
                  <c:v>56.07</c:v>
                </c:pt>
              </c:numCache>
            </c:numRef>
          </c:yVal>
          <c:smooth val="0"/>
          <c:extLst>
            <c:ext xmlns:c16="http://schemas.microsoft.com/office/drawing/2014/chart" uri="{C3380CC4-5D6E-409C-BE32-E72D297353CC}">
              <c16:uniqueId val="{00000003-E412-48CD-BD55-7B506069A3F5}"/>
            </c:ext>
          </c:extLst>
        </c:ser>
        <c:ser>
          <c:idx val="4"/>
          <c:order val="4"/>
          <c:tx>
            <c:strRef>
              <c:f>'R15-R20'!$X$74</c:f>
              <c:strCache>
                <c:ptCount val="1"/>
                <c:pt idx="0">
                  <c:v>Treatment threshold(12.4%)</c:v>
                </c:pt>
              </c:strCache>
            </c:strRef>
          </c:tx>
          <c:spPr>
            <a:ln w="25400" cap="rnd">
              <a:solidFill>
                <a:srgbClr val="C00000"/>
              </a:solidFill>
              <a:prstDash val="sysDot"/>
              <a:round/>
            </a:ln>
            <a:effectLst/>
          </c:spPr>
          <c:marker>
            <c:symbol val="none"/>
          </c:marker>
          <c:xVal>
            <c:numRef>
              <c:f>'R15-R20'!$X$75:$Y$75</c:f>
              <c:numCache>
                <c:formatCode>0.0000</c:formatCode>
                <c:ptCount val="2"/>
                <c:pt idx="0">
                  <c:v>0.12402065573770488</c:v>
                </c:pt>
                <c:pt idx="1">
                  <c:v>0.12402065573770488</c:v>
                </c:pt>
              </c:numCache>
            </c:numRef>
          </c:xVal>
          <c:yVal>
            <c:numRef>
              <c:f>'R15-R20'!$X$76:$Y$76</c:f>
              <c:numCache>
                <c:formatCode>0.0</c:formatCode>
                <c:ptCount val="2"/>
                <c:pt idx="0">
                  <c:v>0</c:v>
                </c:pt>
                <c:pt idx="1">
                  <c:v>191.51292786885242</c:v>
                </c:pt>
              </c:numCache>
            </c:numRef>
          </c:yVal>
          <c:smooth val="0"/>
          <c:extLst>
            <c:ext xmlns:c16="http://schemas.microsoft.com/office/drawing/2014/chart" uri="{C3380CC4-5D6E-409C-BE32-E72D297353CC}">
              <c16:uniqueId val="{00000004-E412-48CD-BD55-7B506069A3F5}"/>
            </c:ext>
          </c:extLst>
        </c:ser>
        <c:ser>
          <c:idx val="5"/>
          <c:order val="5"/>
          <c:tx>
            <c:strRef>
              <c:f>'R15-R20'!$X$80</c:f>
              <c:strCache>
                <c:ptCount val="1"/>
                <c:pt idx="0">
                  <c:v>Testing threshold (22.32%)</c:v>
                </c:pt>
              </c:strCache>
            </c:strRef>
          </c:tx>
          <c:spPr>
            <a:ln w="25400" cap="rnd">
              <a:solidFill>
                <a:srgbClr val="7030A0"/>
              </a:solidFill>
              <a:prstDash val="sysDot"/>
              <a:round/>
            </a:ln>
            <a:effectLst/>
          </c:spPr>
          <c:marker>
            <c:symbol val="none"/>
          </c:marker>
          <c:xVal>
            <c:numRef>
              <c:f>'R15-R20'!$X$81:$Y$81</c:f>
              <c:numCache>
                <c:formatCode>0.0000</c:formatCode>
                <c:ptCount val="2"/>
                <c:pt idx="0">
                  <c:v>0.22323718032786879</c:v>
                </c:pt>
                <c:pt idx="1">
                  <c:v>0.22323718032786879</c:v>
                </c:pt>
              </c:numCache>
            </c:numRef>
          </c:xVal>
          <c:yVal>
            <c:numRef>
              <c:f>'R15-R20'!$X$82:$Y$82</c:f>
              <c:numCache>
                <c:formatCode>0.0</c:formatCode>
                <c:ptCount val="2"/>
                <c:pt idx="0">
                  <c:v>0</c:v>
                </c:pt>
                <c:pt idx="1">
                  <c:v>294.56859016393435</c:v>
                </c:pt>
              </c:numCache>
            </c:numRef>
          </c:yVal>
          <c:smooth val="0"/>
          <c:extLst>
            <c:ext xmlns:c16="http://schemas.microsoft.com/office/drawing/2014/chart" uri="{C3380CC4-5D6E-409C-BE32-E72D297353CC}">
              <c16:uniqueId val="{00000005-E412-48CD-BD55-7B506069A3F5}"/>
            </c:ext>
          </c:extLst>
        </c:ser>
        <c:dLbls>
          <c:showLegendKey val="0"/>
          <c:showVal val="0"/>
          <c:showCatName val="0"/>
          <c:showSerName val="0"/>
          <c:showPercent val="0"/>
          <c:showBubbleSize val="0"/>
        </c:dLbls>
        <c:axId val="1108847360"/>
        <c:axId val="1108847840"/>
      </c:scatterChart>
      <c:valAx>
        <c:axId val="1108847360"/>
        <c:scaling>
          <c:orientation val="minMax"/>
          <c:max val="0.1100000000000000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VTE recurrence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840"/>
        <c:crosses val="autoZero"/>
        <c:crossBetween val="midCat"/>
      </c:valAx>
      <c:valAx>
        <c:axId val="1108847840"/>
        <c:scaling>
          <c:orientation val="minMax"/>
        </c:scaling>
        <c:delete val="0"/>
        <c:axPos val="l"/>
        <c:majorGridlines>
          <c:spPr>
            <a:ln w="9525" cap="flat" cmpd="sng" algn="ctr">
              <a:solidFill>
                <a:schemeClr val="tx1">
                  <a:lumMod val="15000"/>
                  <a:lumOff val="85000"/>
                </a:schemeClr>
              </a:solidFill>
              <a:round/>
            </a:ln>
            <a:effectLst/>
          </c:spPr>
        </c:majorGridlines>
        <c:title>
          <c:tx>
            <c:strRef>
              <c:f>'R15-R20'!$P$74:$R$74</c:f>
              <c:strCache>
                <c:ptCount val="3"/>
                <c:pt idx="0">
                  <c:v>Weighted Average  (VTE + severe symptoms of the menopause)</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8847360"/>
        <c:crosses val="autoZero"/>
        <c:crossBetween val="midCat"/>
      </c:valAx>
      <c:spPr>
        <a:noFill/>
        <a:ln>
          <a:noFill/>
        </a:ln>
        <a:effectLst/>
      </c:spPr>
    </c:plotArea>
    <c:legend>
      <c:legendPos val="t"/>
      <c:layout>
        <c:manualLayout>
          <c:xMode val="edge"/>
          <c:yMode val="edge"/>
          <c:x val="0.10314045769659504"/>
          <c:y val="7.8650406794388783E-2"/>
          <c:w val="0.84078303965585965"/>
          <c:h val="0.10265187306132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95249</xdr:colOff>
      <xdr:row>0</xdr:row>
      <xdr:rowOff>76200</xdr:rowOff>
    </xdr:from>
    <xdr:to>
      <xdr:col>31</xdr:col>
      <xdr:colOff>295274</xdr:colOff>
      <xdr:row>21</xdr:row>
      <xdr:rowOff>152400</xdr:rowOff>
    </xdr:to>
    <xdr:graphicFrame macro="">
      <xdr:nvGraphicFramePr>
        <xdr:cNvPr id="2" name="Chart 1">
          <a:extLst>
            <a:ext uri="{FF2B5EF4-FFF2-40B4-BE49-F238E27FC236}">
              <a16:creationId xmlns:a16="http://schemas.microsoft.com/office/drawing/2014/main" id="{CCEBF1E1-3755-B9F6-0123-CB1B3A68A5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390525</xdr:colOff>
      <xdr:row>0</xdr:row>
      <xdr:rowOff>76200</xdr:rowOff>
    </xdr:from>
    <xdr:to>
      <xdr:col>41</xdr:col>
      <xdr:colOff>19050</xdr:colOff>
      <xdr:row>22</xdr:row>
      <xdr:rowOff>0</xdr:rowOff>
    </xdr:to>
    <xdr:graphicFrame macro="">
      <xdr:nvGraphicFramePr>
        <xdr:cNvPr id="5" name="Chart 4">
          <a:extLst>
            <a:ext uri="{FF2B5EF4-FFF2-40B4-BE49-F238E27FC236}">
              <a16:creationId xmlns:a16="http://schemas.microsoft.com/office/drawing/2014/main" id="{5EB63DE9-6AB6-45B3-B0C5-6B64099D9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85726</xdr:colOff>
      <xdr:row>0</xdr:row>
      <xdr:rowOff>76200</xdr:rowOff>
    </xdr:from>
    <xdr:to>
      <xdr:col>31</xdr:col>
      <xdr:colOff>533400</xdr:colOff>
      <xdr:row>21</xdr:row>
      <xdr:rowOff>161925</xdr:rowOff>
    </xdr:to>
    <xdr:graphicFrame macro="">
      <xdr:nvGraphicFramePr>
        <xdr:cNvPr id="2" name="Chart 1">
          <a:extLst>
            <a:ext uri="{FF2B5EF4-FFF2-40B4-BE49-F238E27FC236}">
              <a16:creationId xmlns:a16="http://schemas.microsoft.com/office/drawing/2014/main" id="{75880291-76D5-4C83-977B-A7A5C81D8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590549</xdr:colOff>
      <xdr:row>0</xdr:row>
      <xdr:rowOff>76200</xdr:rowOff>
    </xdr:from>
    <xdr:to>
      <xdr:col>41</xdr:col>
      <xdr:colOff>493059</xdr:colOff>
      <xdr:row>21</xdr:row>
      <xdr:rowOff>152400</xdr:rowOff>
    </xdr:to>
    <xdr:graphicFrame macro="">
      <xdr:nvGraphicFramePr>
        <xdr:cNvPr id="3" name="Chart 2">
          <a:extLst>
            <a:ext uri="{FF2B5EF4-FFF2-40B4-BE49-F238E27FC236}">
              <a16:creationId xmlns:a16="http://schemas.microsoft.com/office/drawing/2014/main" id="{8C153230-0240-457C-AAD4-385D048DB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457198</xdr:colOff>
      <xdr:row>0</xdr:row>
      <xdr:rowOff>104776</xdr:rowOff>
    </xdr:from>
    <xdr:to>
      <xdr:col>39</xdr:col>
      <xdr:colOff>504825</xdr:colOff>
      <xdr:row>22</xdr:row>
      <xdr:rowOff>95251</xdr:rowOff>
    </xdr:to>
    <xdr:graphicFrame macro="">
      <xdr:nvGraphicFramePr>
        <xdr:cNvPr id="3" name="Chart 2">
          <a:extLst>
            <a:ext uri="{FF2B5EF4-FFF2-40B4-BE49-F238E27FC236}">
              <a16:creationId xmlns:a16="http://schemas.microsoft.com/office/drawing/2014/main" id="{977EBD8C-BAE5-43E1-9FC5-C2A3048E9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76200</xdr:colOff>
      <xdr:row>0</xdr:row>
      <xdr:rowOff>114300</xdr:rowOff>
    </xdr:from>
    <xdr:to>
      <xdr:col>30</xdr:col>
      <xdr:colOff>390525</xdr:colOff>
      <xdr:row>22</xdr:row>
      <xdr:rowOff>95250</xdr:rowOff>
    </xdr:to>
    <xdr:graphicFrame macro="">
      <xdr:nvGraphicFramePr>
        <xdr:cNvPr id="2" name="Chart 1">
          <a:extLst>
            <a:ext uri="{FF2B5EF4-FFF2-40B4-BE49-F238E27FC236}">
              <a16:creationId xmlns:a16="http://schemas.microsoft.com/office/drawing/2014/main" id="{27769E9F-B99D-4E5D-AD02-32054426B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1182/bloodadvances.202401293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i.org/10.1182/bloodadvances.202401293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hpublications.org/bloodadvances/article/7/22/7101/495845/American-Society-of-Hematology-2023-guidelines-fo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oi.org/10.1182/bloodadvances.2024012931" TargetMode="External"/><Relationship Id="rId1" Type="http://schemas.openxmlformats.org/officeDocument/2006/relationships/hyperlink" Target="https://ashpublications.org/bloodadvances/article/7/22/7101/495845/American-Society-of-Hematology-2023-guidelines-for" TargetMode="Externa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i.org/10.1182/bloodadvances.2024012931" TargetMode="External"/><Relationship Id="rId1" Type="http://schemas.openxmlformats.org/officeDocument/2006/relationships/hyperlink" Target="https://ashpublications.org/bloodadvances/article/7/22/7101/495845/American-Society-of-Hematology-2023-guidelines-for"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plannedparenthood.org/learn/birth-control/birth-control-pill/how-effective-is-the-birth-control-pill" TargetMode="External"/><Relationship Id="rId7" Type="http://schemas.openxmlformats.org/officeDocument/2006/relationships/printerSettings" Target="../printerSettings/printerSettings4.bin"/><Relationship Id="rId2" Type="http://schemas.openxmlformats.org/officeDocument/2006/relationships/hyperlink" Target="https://www.jabfm.org/content/22/5/563/tab-figures-data/" TargetMode="External"/><Relationship Id="rId1" Type="http://schemas.openxmlformats.org/officeDocument/2006/relationships/hyperlink" Target="https://ashpublications.org/bloodadvances/article/7/22/7101/495845/American-Society-of-Hematology-2023-guidelines-for" TargetMode="External"/><Relationship Id="rId6" Type="http://schemas.openxmlformats.org/officeDocument/2006/relationships/hyperlink" Target="https://doi.org/10.1182/bloodadvances.2024012931" TargetMode="External"/><Relationship Id="rId5" Type="http://schemas.openxmlformats.org/officeDocument/2006/relationships/hyperlink" Target="https://nam12.safelinks.protection.outlook.com/?url=https%3A%2F%2Fwww.cochranelibrary.com%2Fcdsr%2Fdoi%2F10.1002%2F14651858.CD002978.pub2%2Ffull&amp;data=05%7C02%7Cihozo%40iu.edu%7C17c0c32202674030aa9508dc5728195f%7C1113be34aed14d00ab4bcdd02510be91%7C0%7C0%7C638481077169204924%7CUnknown%7CTWFpbGZsb3d8eyJWIjoiMC4wLjAwMDAiLCJQIjoiV2luMzIiLCJBTiI6Ik1haWwiLCJXVCI6Mn0%3D%7C0%7C%7C%7C&amp;sdata=Bb0oc0T3eh4I7YAAdVCDp864LpDf6iK%2BqQxaWiwgpZ4%3D&amp;reserved=0" TargetMode="External"/><Relationship Id="rId4" Type="http://schemas.openxmlformats.org/officeDocument/2006/relationships/hyperlink" Target="https://www.yalemedicine.org/conditions/menopaus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guidelines.ash.gradepro.org/profile/jcduC34LCPo" TargetMode="External"/><Relationship Id="rId2" Type="http://schemas.openxmlformats.org/officeDocument/2006/relationships/hyperlink" Target="https://doi.org/10.1182/bloodadvances.2023010177" TargetMode="External"/><Relationship Id="rId1" Type="http://schemas.openxmlformats.org/officeDocument/2006/relationships/hyperlink" Target="https://guidelines.ash.gradepro.org/profile/Ah_EJo6Ll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2027F-89D5-4D7E-A6A0-1ED6C1560789}">
  <dimension ref="A1:R50"/>
  <sheetViews>
    <sheetView topLeftCell="A31" zoomScaleNormal="100" workbookViewId="0"/>
  </sheetViews>
  <sheetFormatPr defaultRowHeight="15"/>
  <cols>
    <col min="1" max="2" width="9.140625" style="8"/>
    <col min="3" max="3" width="4.28515625" style="8" customWidth="1"/>
    <col min="4" max="6" width="7.85546875" style="8" customWidth="1"/>
    <col min="7" max="7" width="18.42578125" style="8" customWidth="1"/>
    <col min="8" max="8" width="5.140625" style="8" customWidth="1"/>
    <col min="9" max="9" width="6.5703125" style="8" customWidth="1"/>
    <col min="10" max="14" width="9.140625" style="8"/>
    <col min="15" max="15" width="4.140625" style="8" customWidth="1"/>
    <col min="16" max="16" width="9.140625" style="8"/>
    <col min="17" max="17" width="9" style="8" customWidth="1"/>
    <col min="18" max="18" width="18.7109375" style="8" customWidth="1"/>
    <col min="19" max="16384" width="9.140625" style="8"/>
  </cols>
  <sheetData>
    <row r="1" spans="1:18" ht="15.75" customHeight="1">
      <c r="A1" s="188" t="s">
        <v>0</v>
      </c>
      <c r="B1" s="189"/>
      <c r="C1" s="189"/>
      <c r="D1" s="189"/>
      <c r="E1" s="189"/>
      <c r="F1" s="189"/>
      <c r="G1" s="189"/>
      <c r="H1" s="189"/>
      <c r="I1" s="189"/>
      <c r="J1" s="189"/>
      <c r="K1" s="189"/>
      <c r="L1" s="189"/>
      <c r="M1" s="189"/>
      <c r="N1" s="189"/>
      <c r="O1" s="189"/>
      <c r="P1" s="189"/>
      <c r="Q1" s="189"/>
      <c r="R1" s="190"/>
    </row>
    <row r="2" spans="1:18" ht="7.5" customHeight="1">
      <c r="A2" s="191"/>
      <c r="B2" s="192"/>
      <c r="C2" s="192"/>
      <c r="D2" s="192"/>
      <c r="E2" s="192"/>
      <c r="F2" s="192"/>
      <c r="G2" s="192"/>
      <c r="H2" s="192"/>
      <c r="I2" s="192"/>
      <c r="J2" s="192"/>
      <c r="K2" s="192"/>
      <c r="L2" s="192"/>
      <c r="M2" s="192"/>
      <c r="N2" s="192"/>
      <c r="O2" s="192"/>
      <c r="P2" s="192"/>
      <c r="Q2" s="192"/>
      <c r="R2" s="193"/>
    </row>
    <row r="3" spans="1:18" s="55" customFormat="1" ht="19.5" customHeight="1">
      <c r="A3" s="194" t="s">
        <v>1</v>
      </c>
      <c r="B3" s="195"/>
      <c r="C3" s="195"/>
      <c r="D3" s="195"/>
      <c r="E3" s="195"/>
      <c r="F3" s="195"/>
      <c r="G3" s="195"/>
      <c r="H3" s="195"/>
      <c r="I3" s="195"/>
      <c r="J3" s="195"/>
      <c r="K3" s="195"/>
      <c r="L3" s="195"/>
      <c r="M3" s="195"/>
      <c r="N3" s="195"/>
      <c r="O3" s="195"/>
      <c r="P3" s="195"/>
      <c r="Q3" s="195"/>
      <c r="R3" s="196"/>
    </row>
    <row r="4" spans="1:18" ht="6" customHeight="1">
      <c r="A4" s="194"/>
      <c r="B4" s="195"/>
      <c r="C4" s="195"/>
      <c r="D4" s="195"/>
      <c r="E4" s="195"/>
      <c r="F4" s="195"/>
      <c r="G4" s="195"/>
      <c r="H4" s="195"/>
      <c r="I4" s="195"/>
      <c r="J4" s="195"/>
      <c r="K4" s="195"/>
      <c r="L4" s="195"/>
      <c r="M4" s="195"/>
      <c r="N4" s="195"/>
      <c r="O4" s="195"/>
      <c r="P4" s="195"/>
      <c r="Q4" s="195"/>
      <c r="R4" s="196"/>
    </row>
    <row r="5" spans="1:18" ht="15" customHeight="1">
      <c r="A5" s="197" t="s">
        <v>2</v>
      </c>
      <c r="B5" s="198"/>
      <c r="C5" s="198"/>
      <c r="D5" s="198"/>
      <c r="E5" s="198"/>
      <c r="F5" s="198"/>
      <c r="G5" s="198"/>
      <c r="H5" s="198"/>
      <c r="I5" s="198"/>
      <c r="J5" s="198"/>
      <c r="K5" s="198"/>
      <c r="L5" s="198"/>
      <c r="M5" s="198"/>
      <c r="N5" s="198"/>
      <c r="O5" s="198"/>
      <c r="P5" s="198"/>
      <c r="Q5" s="198"/>
      <c r="R5" s="199"/>
    </row>
    <row r="6" spans="1:18">
      <c r="A6" s="197"/>
      <c r="B6" s="198"/>
      <c r="C6" s="198"/>
      <c r="D6" s="198"/>
      <c r="E6" s="198"/>
      <c r="F6" s="198"/>
      <c r="G6" s="198"/>
      <c r="H6" s="198"/>
      <c r="I6" s="198"/>
      <c r="J6" s="198"/>
      <c r="K6" s="198"/>
      <c r="L6" s="198"/>
      <c r="M6" s="198"/>
      <c r="N6" s="198"/>
      <c r="O6" s="198"/>
      <c r="P6" s="198"/>
      <c r="Q6" s="198"/>
      <c r="R6" s="199"/>
    </row>
    <row r="7" spans="1:18">
      <c r="A7" s="197"/>
      <c r="B7" s="198"/>
      <c r="C7" s="198"/>
      <c r="D7" s="198"/>
      <c r="E7" s="198"/>
      <c r="F7" s="198"/>
      <c r="G7" s="198"/>
      <c r="H7" s="198"/>
      <c r="I7" s="198"/>
      <c r="J7" s="198"/>
      <c r="K7" s="198"/>
      <c r="L7" s="198"/>
      <c r="M7" s="198"/>
      <c r="N7" s="198"/>
      <c r="O7" s="198"/>
      <c r="P7" s="198"/>
      <c r="Q7" s="198"/>
      <c r="R7" s="199"/>
    </row>
    <row r="8" spans="1:18">
      <c r="A8" s="197"/>
      <c r="B8" s="198"/>
      <c r="C8" s="198"/>
      <c r="D8" s="198"/>
      <c r="E8" s="198"/>
      <c r="F8" s="198"/>
      <c r="G8" s="198"/>
      <c r="H8" s="198"/>
      <c r="I8" s="198"/>
      <c r="J8" s="198"/>
      <c r="K8" s="198"/>
      <c r="L8" s="198"/>
      <c r="M8" s="198"/>
      <c r="N8" s="198"/>
      <c r="O8" s="198"/>
      <c r="P8" s="198"/>
      <c r="Q8" s="198"/>
      <c r="R8" s="199"/>
    </row>
    <row r="9" spans="1:18" ht="15" customHeight="1">
      <c r="A9" s="166" t="s">
        <v>3</v>
      </c>
      <c r="B9" s="55"/>
      <c r="C9" s="55"/>
      <c r="D9" s="55"/>
      <c r="E9" s="55"/>
      <c r="F9" s="55"/>
      <c r="G9" s="55"/>
      <c r="H9" s="55"/>
      <c r="I9" s="55"/>
      <c r="J9" s="55"/>
      <c r="K9" s="55"/>
      <c r="L9" s="55"/>
      <c r="M9" s="55"/>
      <c r="N9" s="55"/>
      <c r="O9" s="55"/>
      <c r="P9" s="55"/>
      <c r="Q9" s="55"/>
      <c r="R9" s="167"/>
    </row>
    <row r="10" spans="1:18" ht="15" customHeight="1">
      <c r="A10" s="166" t="s">
        <v>4</v>
      </c>
      <c r="B10" s="55"/>
      <c r="C10" s="55"/>
      <c r="D10" s="55"/>
      <c r="E10" s="55"/>
      <c r="F10" s="55"/>
      <c r="G10" s="55"/>
      <c r="H10" s="55"/>
      <c r="I10" s="55"/>
      <c r="J10" s="55"/>
      <c r="K10" s="55"/>
      <c r="L10" s="55"/>
      <c r="M10" s="55"/>
      <c r="N10" s="55"/>
      <c r="O10" s="55"/>
      <c r="P10" s="55"/>
      <c r="Q10" s="55"/>
      <c r="R10" s="167"/>
    </row>
    <row r="11" spans="1:18">
      <c r="A11" s="166" t="s">
        <v>5</v>
      </c>
      <c r="B11" s="55"/>
      <c r="C11" s="55"/>
      <c r="D11" s="55"/>
      <c r="E11" s="55"/>
      <c r="F11" s="55"/>
      <c r="G11" s="55"/>
      <c r="H11" s="55"/>
      <c r="I11" s="55"/>
      <c r="J11" s="55"/>
      <c r="K11" s="55"/>
      <c r="L11" s="55"/>
      <c r="M11" s="55"/>
      <c r="N11" s="55"/>
      <c r="O11" s="55"/>
      <c r="P11" s="55"/>
      <c r="Q11" s="55"/>
      <c r="R11" s="167"/>
    </row>
    <row r="12" spans="1:18">
      <c r="A12" s="166" t="s">
        <v>6</v>
      </c>
      <c r="B12" s="55"/>
      <c r="C12" s="55"/>
      <c r="D12" s="55"/>
      <c r="E12" s="55"/>
      <c r="F12" s="55"/>
      <c r="G12" s="55"/>
      <c r="H12" s="55"/>
      <c r="I12" s="55"/>
      <c r="J12" s="55"/>
      <c r="K12" s="55"/>
      <c r="L12" s="55"/>
      <c r="M12" s="55"/>
      <c r="N12" s="55"/>
      <c r="O12" s="55"/>
      <c r="P12" s="55"/>
      <c r="Q12" s="55"/>
      <c r="R12" s="167"/>
    </row>
    <row r="13" spans="1:18">
      <c r="A13" s="166" t="s">
        <v>7</v>
      </c>
      <c r="B13" s="55"/>
      <c r="C13" s="55"/>
      <c r="D13" s="55"/>
      <c r="E13" s="200" t="str">
        <f>HYPERLINK("https://doi.org/10.1182/bloodadvances.2024012931")</f>
        <v>https://doi.org/10.1182/bloodadvances.2024012931</v>
      </c>
      <c r="F13" s="200"/>
      <c r="G13" s="200"/>
      <c r="H13" s="200"/>
      <c r="I13" s="200"/>
      <c r="J13" s="55" t="s">
        <v>8</v>
      </c>
      <c r="K13" s="55"/>
      <c r="L13" s="55"/>
      <c r="M13" s="55"/>
      <c r="N13" s="55"/>
      <c r="O13" s="55"/>
      <c r="P13" s="55"/>
      <c r="Q13" s="55"/>
      <c r="R13" s="167"/>
    </row>
    <row r="14" spans="1:18">
      <c r="A14" s="165" t="s">
        <v>9</v>
      </c>
      <c r="B14" s="162"/>
      <c r="C14" s="162"/>
      <c r="D14" s="162"/>
      <c r="E14" s="162"/>
      <c r="F14" s="162"/>
      <c r="G14" s="162"/>
      <c r="H14" s="162"/>
      <c r="I14" s="162"/>
      <c r="J14" s="162"/>
      <c r="K14" s="162"/>
      <c r="L14" s="162"/>
      <c r="M14" s="162"/>
      <c r="N14" s="162"/>
      <c r="O14" s="162"/>
      <c r="P14" s="162"/>
      <c r="Q14" s="162"/>
      <c r="R14" s="163"/>
    </row>
    <row r="15" spans="1:18">
      <c r="A15" s="166" t="s">
        <v>10</v>
      </c>
      <c r="B15" s="161"/>
      <c r="C15" s="161"/>
      <c r="D15" s="161"/>
      <c r="E15" s="161"/>
      <c r="F15" s="161"/>
      <c r="G15" s="161"/>
      <c r="H15" s="161"/>
      <c r="I15" s="161"/>
      <c r="J15" s="161"/>
      <c r="K15" s="161"/>
      <c r="L15" s="161"/>
      <c r="M15" s="161"/>
      <c r="N15" s="161"/>
      <c r="O15" s="161"/>
      <c r="P15" s="161"/>
      <c r="Q15" s="161"/>
      <c r="R15" s="164"/>
    </row>
    <row r="16" spans="1:18">
      <c r="A16" s="166" t="s">
        <v>11</v>
      </c>
      <c r="B16" s="161"/>
      <c r="C16" s="161"/>
      <c r="D16" s="161"/>
      <c r="E16" s="161"/>
      <c r="F16" s="161"/>
      <c r="G16" s="161"/>
      <c r="H16" s="161"/>
      <c r="I16" s="161"/>
      <c r="J16" s="161"/>
      <c r="K16" s="161"/>
      <c r="L16" s="161"/>
      <c r="M16" s="161"/>
      <c r="N16" s="161"/>
      <c r="O16" s="161"/>
      <c r="P16" s="161"/>
      <c r="Q16" s="161"/>
      <c r="R16" s="164"/>
    </row>
    <row r="17" spans="1:18">
      <c r="A17" s="166" t="s">
        <v>12</v>
      </c>
      <c r="B17" s="161"/>
      <c r="C17" s="161"/>
      <c r="D17" s="161"/>
      <c r="E17" s="161"/>
      <c r="F17" s="161"/>
      <c r="G17" s="161"/>
      <c r="H17" s="161"/>
      <c r="I17" s="161"/>
      <c r="J17" s="161"/>
      <c r="K17" s="161"/>
      <c r="L17" s="161"/>
      <c r="M17" s="161"/>
      <c r="N17" s="161"/>
      <c r="O17" s="161"/>
      <c r="P17" s="161"/>
      <c r="Q17" s="161"/>
      <c r="R17" s="164"/>
    </row>
    <row r="18" spans="1:18">
      <c r="A18" s="166" t="s">
        <v>13</v>
      </c>
      <c r="B18" s="161"/>
      <c r="C18" s="161"/>
      <c r="D18" s="161"/>
      <c r="E18" s="161"/>
      <c r="F18" s="161"/>
      <c r="G18" s="161"/>
      <c r="H18" s="161"/>
      <c r="I18" s="161"/>
      <c r="J18" s="161"/>
      <c r="K18" s="161"/>
      <c r="L18" s="161"/>
      <c r="M18" s="161"/>
      <c r="N18" s="161"/>
      <c r="O18" s="161"/>
      <c r="P18" s="161"/>
      <c r="Q18" s="161"/>
      <c r="R18" s="164"/>
    </row>
    <row r="19" spans="1:18" ht="6.75" customHeight="1">
      <c r="A19" s="166"/>
      <c r="B19" s="161"/>
      <c r="C19" s="161"/>
      <c r="D19" s="161"/>
      <c r="E19" s="161"/>
      <c r="F19" s="161"/>
      <c r="G19" s="161"/>
      <c r="H19" s="161"/>
      <c r="I19" s="161"/>
      <c r="J19" s="161"/>
      <c r="K19" s="161"/>
      <c r="L19" s="161"/>
      <c r="M19" s="161"/>
      <c r="N19" s="161"/>
      <c r="O19" s="161"/>
      <c r="P19" s="161"/>
      <c r="Q19" s="161"/>
      <c r="R19" s="164"/>
    </row>
    <row r="20" spans="1:18" ht="15" customHeight="1">
      <c r="A20" s="166" t="s">
        <v>14</v>
      </c>
      <c r="B20" s="55"/>
      <c r="C20" s="55"/>
      <c r="D20" s="55"/>
      <c r="E20" s="55"/>
      <c r="F20" s="55"/>
      <c r="G20" s="55"/>
      <c r="H20" s="55"/>
      <c r="I20" s="55"/>
      <c r="J20" s="55"/>
      <c r="K20" s="55"/>
      <c r="L20" s="55"/>
      <c r="M20" s="55"/>
      <c r="N20" s="55"/>
      <c r="O20" s="55"/>
      <c r="P20" s="55"/>
      <c r="Q20" s="55"/>
      <c r="R20" s="167"/>
    </row>
    <row r="21" spans="1:18" ht="15" customHeight="1">
      <c r="A21" s="166" t="s">
        <v>15</v>
      </c>
      <c r="B21" s="55"/>
      <c r="C21" s="55"/>
      <c r="D21" s="55"/>
      <c r="E21" s="55"/>
      <c r="F21" s="55"/>
      <c r="G21" s="55"/>
      <c r="H21" s="55"/>
      <c r="I21" s="55"/>
      <c r="J21" s="55"/>
      <c r="K21" s="55"/>
      <c r="L21" s="55"/>
      <c r="M21" s="55"/>
      <c r="N21" s="55"/>
      <c r="O21" s="55"/>
      <c r="P21" s="55"/>
      <c r="Q21" s="55"/>
      <c r="R21" s="167"/>
    </row>
    <row r="22" spans="1:18" ht="15" customHeight="1">
      <c r="A22" s="166" t="s">
        <v>16</v>
      </c>
      <c r="B22" s="55"/>
      <c r="C22" s="55"/>
      <c r="D22" s="55"/>
      <c r="E22" s="55"/>
      <c r="F22" s="55"/>
      <c r="G22" s="55"/>
      <c r="H22" s="55"/>
      <c r="I22" s="55"/>
      <c r="J22" s="55"/>
      <c r="K22" s="55"/>
      <c r="L22" s="55"/>
      <c r="M22" s="55"/>
      <c r="N22" s="55"/>
      <c r="O22" s="55"/>
      <c r="P22" s="55"/>
      <c r="Q22" s="55"/>
      <c r="R22" s="167"/>
    </row>
    <row r="23" spans="1:18">
      <c r="A23" s="166" t="s">
        <v>17</v>
      </c>
      <c r="B23" s="55"/>
      <c r="C23" s="55"/>
      <c r="D23" s="55"/>
      <c r="E23" s="55"/>
      <c r="F23" s="55"/>
      <c r="G23" s="55"/>
      <c r="H23" s="55"/>
      <c r="I23" s="55"/>
      <c r="J23" s="55"/>
      <c r="K23" s="55"/>
      <c r="L23" s="55"/>
      <c r="M23" s="55"/>
      <c r="N23" s="55"/>
      <c r="O23" s="55"/>
      <c r="P23" s="55"/>
      <c r="Q23" s="55"/>
      <c r="R23" s="167"/>
    </row>
    <row r="24" spans="1:18">
      <c r="A24" s="166" t="s">
        <v>18</v>
      </c>
      <c r="B24" s="55"/>
      <c r="C24" s="55"/>
      <c r="D24" s="55"/>
      <c r="E24" s="55"/>
      <c r="F24" s="55"/>
      <c r="G24" s="55"/>
      <c r="H24" s="55"/>
      <c r="I24" s="55"/>
      <c r="J24" s="55"/>
      <c r="K24" s="55"/>
      <c r="L24" s="55"/>
      <c r="M24" s="55"/>
      <c r="N24" s="55"/>
      <c r="O24" s="55"/>
      <c r="P24" s="55"/>
      <c r="Q24" s="55"/>
      <c r="R24" s="167"/>
    </row>
    <row r="25" spans="1:18">
      <c r="A25" s="166" t="s">
        <v>19</v>
      </c>
      <c r="B25" s="55"/>
      <c r="C25" s="55"/>
      <c r="D25" s="55"/>
      <c r="E25" s="55"/>
      <c r="F25" s="55"/>
      <c r="G25" s="55"/>
      <c r="H25" s="55"/>
      <c r="I25" s="55"/>
      <c r="J25" s="55"/>
      <c r="K25" s="55"/>
      <c r="L25" s="55"/>
      <c r="M25" s="55"/>
      <c r="N25" s="55"/>
      <c r="O25" s="55"/>
      <c r="P25" s="55"/>
      <c r="Q25" s="55"/>
      <c r="R25" s="167"/>
    </row>
    <row r="26" spans="1:18">
      <c r="A26" s="166" t="s">
        <v>20</v>
      </c>
      <c r="B26" s="55"/>
      <c r="C26" s="55"/>
      <c r="D26" s="55"/>
      <c r="E26" s="55"/>
      <c r="F26" s="55"/>
      <c r="G26" s="55"/>
      <c r="H26" s="55"/>
      <c r="I26" s="55"/>
      <c r="J26" s="55"/>
      <c r="K26" s="55"/>
      <c r="L26" s="55"/>
      <c r="M26" s="55"/>
      <c r="N26" s="55"/>
      <c r="O26" s="55"/>
      <c r="P26" s="55"/>
      <c r="Q26" s="55"/>
      <c r="R26" s="167"/>
    </row>
    <row r="27" spans="1:18">
      <c r="A27" s="166" t="s">
        <v>21</v>
      </c>
      <c r="B27" s="55"/>
      <c r="C27" s="55"/>
      <c r="D27" s="55"/>
      <c r="E27" s="55"/>
      <c r="F27" s="55"/>
      <c r="G27" s="55"/>
      <c r="H27" s="55"/>
      <c r="I27" s="55"/>
      <c r="J27" s="55"/>
      <c r="K27" s="55"/>
      <c r="L27" s="55"/>
      <c r="M27" s="55"/>
      <c r="N27" s="55"/>
      <c r="O27" s="55"/>
      <c r="P27" s="55"/>
      <c r="Q27" s="55"/>
      <c r="R27" s="167"/>
    </row>
    <row r="28" spans="1:18">
      <c r="A28" s="165" t="s">
        <v>22</v>
      </c>
      <c r="B28" s="162"/>
      <c r="C28" s="162"/>
      <c r="D28" s="162"/>
      <c r="E28" s="162"/>
      <c r="F28" s="162"/>
      <c r="G28" s="162"/>
      <c r="H28" s="162"/>
      <c r="I28" s="162"/>
      <c r="J28" s="162"/>
      <c r="K28" s="162"/>
      <c r="L28" s="162"/>
      <c r="M28" s="162"/>
      <c r="N28" s="162"/>
      <c r="O28" s="162"/>
      <c r="P28" s="162"/>
      <c r="Q28" s="162"/>
      <c r="R28" s="163"/>
    </row>
    <row r="29" spans="1:18">
      <c r="A29" s="165" t="s">
        <v>23</v>
      </c>
      <c r="B29" s="162"/>
      <c r="C29" s="162"/>
      <c r="D29" s="162"/>
      <c r="E29" s="162"/>
      <c r="F29" s="162"/>
      <c r="G29" s="162"/>
      <c r="H29" s="162"/>
      <c r="I29" s="162"/>
      <c r="J29" s="162"/>
      <c r="K29" s="162"/>
      <c r="L29" s="162"/>
      <c r="M29" s="162"/>
      <c r="N29" s="162"/>
      <c r="O29" s="162"/>
      <c r="P29" s="162"/>
      <c r="Q29" s="162"/>
      <c r="R29" s="163"/>
    </row>
    <row r="30" spans="1:18">
      <c r="A30" s="165" t="s">
        <v>24</v>
      </c>
      <c r="B30" s="168"/>
      <c r="C30" s="168"/>
      <c r="D30" s="168"/>
      <c r="E30" s="168"/>
      <c r="F30" s="168"/>
      <c r="G30" s="168"/>
      <c r="H30" s="168"/>
      <c r="I30" s="168"/>
      <c r="J30" s="168"/>
      <c r="K30" s="168"/>
      <c r="L30" s="168"/>
      <c r="M30" s="168"/>
      <c r="N30" s="168"/>
      <c r="O30" s="168"/>
      <c r="P30" s="168"/>
      <c r="Q30" s="168"/>
      <c r="R30" s="169"/>
    </row>
    <row r="31" spans="1:18">
      <c r="A31" s="165" t="s">
        <v>25</v>
      </c>
      <c r="B31" s="168"/>
      <c r="C31" s="168"/>
      <c r="D31" s="168"/>
      <c r="E31" s="168"/>
      <c r="F31" s="168"/>
      <c r="G31" s="168"/>
      <c r="H31" s="168"/>
      <c r="I31" s="168"/>
      <c r="J31" s="168"/>
      <c r="K31" s="168"/>
      <c r="L31" s="168"/>
      <c r="M31" s="168"/>
      <c r="N31" s="168"/>
      <c r="O31" s="168"/>
      <c r="P31" s="168"/>
      <c r="Q31" s="168"/>
      <c r="R31" s="169"/>
    </row>
    <row r="32" spans="1:18">
      <c r="A32" s="165" t="s">
        <v>26</v>
      </c>
      <c r="B32" s="168"/>
      <c r="C32" s="168"/>
      <c r="D32" s="170" t="str">
        <f>HYPERLINK("https://doi.org/10.1182/bloodadvances.2024012931")</f>
        <v>https://doi.org/10.1182/bloodadvances.2024012931</v>
      </c>
      <c r="E32" s="168"/>
      <c r="F32" s="168"/>
      <c r="G32" s="168"/>
      <c r="H32" s="168"/>
      <c r="I32" s="168" t="s">
        <v>27</v>
      </c>
      <c r="K32" s="168"/>
      <c r="L32" s="168"/>
      <c r="M32" s="168"/>
      <c r="N32" s="168"/>
      <c r="O32" s="168"/>
      <c r="P32" s="168"/>
      <c r="Q32" s="168"/>
      <c r="R32" s="169"/>
    </row>
    <row r="33" spans="1:18">
      <c r="A33" s="165" t="s">
        <v>28</v>
      </c>
      <c r="B33" s="168"/>
      <c r="C33" s="168"/>
      <c r="D33" s="170"/>
      <c r="E33" s="168"/>
      <c r="F33" s="168"/>
      <c r="G33" s="168"/>
      <c r="H33" s="168"/>
      <c r="I33" s="168"/>
      <c r="K33" s="168"/>
      <c r="L33" s="168"/>
      <c r="M33" s="168"/>
      <c r="N33" s="168"/>
      <c r="O33" s="168"/>
      <c r="P33" s="168"/>
      <c r="Q33" s="168"/>
      <c r="R33" s="169"/>
    </row>
    <row r="34" spans="1:18">
      <c r="A34" s="165" t="s">
        <v>29</v>
      </c>
      <c r="B34" s="168"/>
      <c r="C34" s="168"/>
      <c r="D34" s="170"/>
      <c r="E34" s="168"/>
      <c r="F34" s="168"/>
      <c r="G34" s="168"/>
      <c r="H34" s="168"/>
      <c r="I34" s="168"/>
      <c r="K34" s="168"/>
      <c r="L34" s="168"/>
      <c r="M34" s="168"/>
      <c r="N34" s="168"/>
      <c r="O34" s="168"/>
      <c r="P34" s="168"/>
      <c r="Q34" s="168"/>
      <c r="R34" s="169"/>
    </row>
    <row r="35" spans="1:18">
      <c r="A35" s="165" t="s">
        <v>30</v>
      </c>
      <c r="B35" s="168"/>
      <c r="C35" s="168"/>
      <c r="D35" s="170"/>
      <c r="E35" s="168"/>
      <c r="F35" s="168"/>
      <c r="G35" s="168"/>
      <c r="H35" s="168"/>
      <c r="I35" s="168"/>
      <c r="K35" s="168"/>
      <c r="L35" s="168"/>
      <c r="M35" s="168"/>
      <c r="N35" s="168"/>
      <c r="O35" s="168"/>
      <c r="P35" s="168"/>
      <c r="Q35" s="168"/>
      <c r="R35" s="169"/>
    </row>
    <row r="36" spans="1:18">
      <c r="A36" s="165" t="s">
        <v>31</v>
      </c>
      <c r="B36" s="168"/>
      <c r="C36" s="168"/>
      <c r="D36" s="168"/>
      <c r="E36" s="168"/>
      <c r="F36" s="168"/>
      <c r="G36" s="168"/>
      <c r="H36" s="168"/>
      <c r="I36" s="168"/>
      <c r="J36" s="168"/>
      <c r="K36" s="168"/>
      <c r="L36" s="168"/>
      <c r="M36" s="168"/>
      <c r="N36" s="168"/>
      <c r="O36" s="168"/>
      <c r="P36" s="168"/>
      <c r="Q36" s="168"/>
      <c r="R36" s="169"/>
    </row>
    <row r="37" spans="1:18" ht="5.25" customHeight="1">
      <c r="B37" s="168"/>
      <c r="C37" s="168"/>
      <c r="D37" s="168"/>
      <c r="E37" s="168"/>
      <c r="F37" s="168"/>
      <c r="G37" s="168"/>
      <c r="H37" s="168"/>
      <c r="I37" s="168"/>
      <c r="J37" s="168"/>
      <c r="K37" s="168"/>
      <c r="L37" s="168"/>
      <c r="M37" s="168"/>
      <c r="N37" s="168"/>
      <c r="O37" s="168"/>
      <c r="P37" s="168"/>
      <c r="Q37" s="168"/>
      <c r="R37" s="169"/>
    </row>
    <row r="38" spans="1:18">
      <c r="A38" s="165" t="s">
        <v>32</v>
      </c>
      <c r="B38" s="168"/>
      <c r="C38" s="168"/>
      <c r="D38" s="168"/>
      <c r="E38" s="170" t="s">
        <v>33</v>
      </c>
      <c r="F38" s="168"/>
      <c r="G38" s="168"/>
      <c r="H38" s="168"/>
      <c r="I38" s="168"/>
      <c r="J38" s="168" t="s">
        <v>34</v>
      </c>
      <c r="M38" s="168"/>
      <c r="N38" s="168"/>
      <c r="O38" s="168"/>
      <c r="P38" s="168"/>
      <c r="Q38" s="168"/>
      <c r="R38" s="169"/>
    </row>
    <row r="39" spans="1:18">
      <c r="A39" s="165" t="s">
        <v>35</v>
      </c>
      <c r="B39" s="168"/>
      <c r="C39" s="168"/>
      <c r="D39" s="168"/>
      <c r="E39" s="168"/>
      <c r="F39" s="168"/>
      <c r="G39" s="168"/>
      <c r="H39" s="168"/>
      <c r="I39" s="168"/>
      <c r="J39" s="168"/>
      <c r="K39" s="168"/>
      <c r="L39" s="168"/>
      <c r="M39" s="168"/>
      <c r="N39" s="168"/>
      <c r="O39" s="168"/>
      <c r="P39" s="168"/>
      <c r="Q39" s="168"/>
      <c r="R39" s="169"/>
    </row>
    <row r="40" spans="1:18">
      <c r="A40" s="165" t="s">
        <v>36</v>
      </c>
      <c r="B40" s="168"/>
      <c r="C40" s="168"/>
      <c r="D40" s="168"/>
      <c r="E40" s="168"/>
      <c r="F40" s="168"/>
      <c r="G40" s="168"/>
      <c r="H40" s="168"/>
      <c r="I40" s="168"/>
      <c r="J40" s="168"/>
      <c r="K40" s="168"/>
      <c r="L40" s="168"/>
      <c r="M40" s="168"/>
      <c r="N40" s="168"/>
      <c r="O40" s="168"/>
      <c r="P40" s="168"/>
      <c r="Q40" s="168"/>
      <c r="R40" s="169"/>
    </row>
    <row r="41" spans="1:18">
      <c r="A41" s="165" t="s">
        <v>37</v>
      </c>
      <c r="B41" s="168"/>
      <c r="C41" s="168"/>
      <c r="D41" s="168"/>
      <c r="E41" s="168"/>
      <c r="F41" s="168"/>
      <c r="G41" s="168"/>
      <c r="H41" s="168"/>
      <c r="I41" s="168"/>
      <c r="J41" s="168"/>
      <c r="K41" s="168"/>
      <c r="L41" s="168"/>
      <c r="M41" s="168"/>
      <c r="N41" s="168"/>
      <c r="O41" s="168"/>
      <c r="P41" s="168"/>
      <c r="Q41" s="168"/>
      <c r="R41" s="169"/>
    </row>
    <row r="42" spans="1:18">
      <c r="A42" s="8" t="s">
        <v>38</v>
      </c>
      <c r="B42" s="168"/>
      <c r="C42" s="168"/>
      <c r="D42" s="168"/>
      <c r="E42" s="168"/>
      <c r="F42" s="168"/>
      <c r="G42" s="168"/>
      <c r="H42" s="168"/>
      <c r="I42" s="168"/>
      <c r="J42" s="168"/>
      <c r="K42" s="168"/>
      <c r="L42" s="168"/>
      <c r="M42" s="168"/>
      <c r="N42" s="168"/>
      <c r="O42" s="168"/>
      <c r="P42" s="168"/>
      <c r="Q42" s="168"/>
      <c r="R42" s="169"/>
    </row>
    <row r="43" spans="1:18">
      <c r="A43" s="8" t="s">
        <v>39</v>
      </c>
      <c r="B43" s="168"/>
      <c r="C43" s="168"/>
      <c r="D43" s="168"/>
      <c r="E43" s="168"/>
      <c r="F43" s="168"/>
      <c r="G43" s="168"/>
      <c r="H43" s="168"/>
      <c r="I43" s="168"/>
      <c r="J43" s="168"/>
      <c r="K43" s="168"/>
      <c r="L43" s="168"/>
      <c r="M43" s="168"/>
      <c r="N43" s="168"/>
      <c r="O43" s="168"/>
      <c r="P43" s="168"/>
      <c r="Q43" s="168"/>
      <c r="R43" s="169"/>
    </row>
    <row r="44" spans="1:18" ht="3" customHeight="1">
      <c r="B44" s="168"/>
      <c r="C44" s="168"/>
      <c r="D44" s="168"/>
      <c r="E44" s="168"/>
      <c r="F44" s="168"/>
      <c r="G44" s="168"/>
      <c r="H44" s="168"/>
      <c r="I44" s="168"/>
      <c r="J44" s="168"/>
      <c r="K44" s="168"/>
      <c r="L44" s="168"/>
      <c r="M44" s="168"/>
      <c r="N44" s="168"/>
      <c r="O44" s="168"/>
      <c r="P44" s="168"/>
      <c r="Q44" s="168"/>
      <c r="R44" s="169"/>
    </row>
    <row r="45" spans="1:18">
      <c r="A45" s="171" t="s">
        <v>40</v>
      </c>
      <c r="B45" s="168"/>
      <c r="C45" s="168"/>
      <c r="D45" s="168"/>
      <c r="E45" s="168"/>
      <c r="F45" s="168"/>
      <c r="G45" s="168"/>
      <c r="H45" s="168"/>
      <c r="I45" s="168"/>
      <c r="J45" s="168"/>
      <c r="K45" s="168"/>
      <c r="L45" s="168"/>
      <c r="M45" s="168"/>
      <c r="N45" s="168"/>
      <c r="O45" s="168"/>
      <c r="P45" s="168"/>
      <c r="Q45" s="168"/>
      <c r="R45" s="169"/>
    </row>
    <row r="46" spans="1:18">
      <c r="A46" s="165" t="s">
        <v>41</v>
      </c>
      <c r="B46" s="168"/>
      <c r="C46" s="168"/>
      <c r="D46" s="168"/>
      <c r="E46" s="168"/>
      <c r="F46" s="168"/>
      <c r="G46" s="168"/>
      <c r="H46" s="168"/>
      <c r="I46" s="168"/>
      <c r="J46" s="168"/>
      <c r="K46" s="168"/>
      <c r="L46" s="168"/>
      <c r="M46" s="168"/>
      <c r="N46" s="168"/>
      <c r="O46" s="168"/>
      <c r="P46" s="168"/>
      <c r="Q46" s="168"/>
      <c r="R46" s="169"/>
    </row>
    <row r="47" spans="1:18" ht="5.25" customHeight="1">
      <c r="B47" s="55"/>
      <c r="C47" s="55"/>
      <c r="D47" s="55"/>
      <c r="E47" s="55"/>
      <c r="F47" s="55"/>
      <c r="G47" s="55"/>
      <c r="H47" s="55"/>
      <c r="I47" s="55"/>
      <c r="J47" s="55"/>
      <c r="K47" s="55"/>
      <c r="L47" s="55"/>
      <c r="M47" s="55"/>
      <c r="N47" s="55"/>
      <c r="O47" s="55"/>
      <c r="P47" s="55"/>
      <c r="Q47" s="55"/>
      <c r="R47" s="167"/>
    </row>
    <row r="48" spans="1:18">
      <c r="A48" s="166" t="s">
        <v>42</v>
      </c>
      <c r="B48" s="55"/>
      <c r="C48" s="55"/>
      <c r="D48" s="55"/>
      <c r="E48" s="55"/>
      <c r="F48" s="55"/>
      <c r="G48" s="55"/>
      <c r="H48" s="55"/>
      <c r="I48" s="55"/>
      <c r="J48" s="55"/>
      <c r="K48" s="55"/>
      <c r="L48" s="55"/>
      <c r="M48" s="55"/>
      <c r="N48" s="55"/>
      <c r="O48" s="55"/>
      <c r="P48" s="55"/>
      <c r="Q48" s="55"/>
      <c r="R48" s="167"/>
    </row>
    <row r="49" spans="1:18" ht="4.5" customHeight="1" thickBot="1">
      <c r="A49" s="172"/>
      <c r="B49" s="173"/>
      <c r="C49" s="173"/>
      <c r="D49" s="173"/>
      <c r="E49" s="173"/>
      <c r="F49" s="173"/>
      <c r="G49" s="173"/>
      <c r="H49" s="173"/>
      <c r="I49" s="173"/>
      <c r="J49" s="173"/>
      <c r="K49" s="173"/>
      <c r="L49" s="173"/>
      <c r="M49" s="173"/>
      <c r="N49" s="173"/>
      <c r="O49" s="173"/>
      <c r="P49" s="173"/>
      <c r="Q49" s="173"/>
      <c r="R49" s="174"/>
    </row>
    <row r="50" spans="1:18">
      <c r="A50" s="161"/>
      <c r="B50" s="161"/>
      <c r="C50" s="161"/>
      <c r="D50" s="161"/>
      <c r="E50" s="161"/>
      <c r="F50" s="161"/>
      <c r="G50" s="161"/>
      <c r="H50" s="161"/>
      <c r="I50" s="161"/>
      <c r="J50" s="161"/>
      <c r="K50" s="161"/>
      <c r="L50" s="161"/>
      <c r="M50" s="161"/>
      <c r="N50" s="161"/>
      <c r="O50" s="161"/>
    </row>
  </sheetData>
  <sheetProtection algorithmName="SHA-512" hashValue="I4qr9dRvWu98xIuDKyTOvp1e/AEDjjRe/V10iwWo2+JyJjjPaJV1vuYhsnA/pujDwPfLlfeutQhWgy8IUlGv/w==" saltValue="jGSMgV5vvXSMDxrFiqOSeg==" spinCount="100000" sheet="1" objects="1" scenarios="1"/>
  <mergeCells count="4">
    <mergeCell ref="A1:R2"/>
    <mergeCell ref="A3:R4"/>
    <mergeCell ref="A5:R8"/>
    <mergeCell ref="E13:I13"/>
  </mergeCells>
  <hyperlinks>
    <hyperlink ref="E38" r:id="rId1" xr:uid="{C502B26A-E1D2-44F6-85F2-F7AEA68450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EE39F-46F9-4296-BE29-1B531F92CD5C}">
  <dimension ref="A1:S56"/>
  <sheetViews>
    <sheetView topLeftCell="A5" workbookViewId="0"/>
  </sheetViews>
  <sheetFormatPr defaultRowHeight="15"/>
  <cols>
    <col min="1" max="16384" width="9.140625" style="8"/>
  </cols>
  <sheetData>
    <row r="1" spans="1:19" ht="20.25" customHeight="1">
      <c r="A1" s="176" t="s">
        <v>43</v>
      </c>
      <c r="B1" s="176"/>
      <c r="C1" s="176"/>
      <c r="D1" s="176"/>
      <c r="E1" s="176"/>
      <c r="F1" s="176"/>
      <c r="G1" s="176" t="s">
        <v>44</v>
      </c>
      <c r="H1" s="177" t="s">
        <v>33</v>
      </c>
      <c r="I1" s="176"/>
      <c r="J1" s="176"/>
      <c r="K1" s="176"/>
      <c r="L1" s="176"/>
      <c r="M1" s="176"/>
      <c r="N1" s="176"/>
      <c r="O1" s="176"/>
      <c r="P1" s="176"/>
      <c r="Q1" s="176"/>
      <c r="R1" s="176"/>
      <c r="S1" s="176"/>
    </row>
    <row r="2" spans="1:19" ht="15" customHeight="1">
      <c r="A2" s="201" t="s">
        <v>45</v>
      </c>
      <c r="B2" s="201"/>
      <c r="C2" s="201"/>
      <c r="D2" s="201"/>
      <c r="E2" s="201"/>
      <c r="F2" s="201"/>
      <c r="G2" s="201"/>
      <c r="H2" s="201"/>
      <c r="I2" s="201"/>
      <c r="J2" s="201"/>
      <c r="K2" s="201"/>
      <c r="L2" s="201"/>
      <c r="M2" s="201"/>
      <c r="N2" s="201"/>
      <c r="O2" s="201"/>
      <c r="P2" s="201"/>
      <c r="Q2" s="201"/>
      <c r="R2" s="201"/>
      <c r="S2" s="201"/>
    </row>
    <row r="3" spans="1:19">
      <c r="A3" s="201"/>
      <c r="B3" s="201"/>
      <c r="C3" s="201"/>
      <c r="D3" s="201"/>
      <c r="E3" s="201"/>
      <c r="F3" s="201"/>
      <c r="G3" s="201"/>
      <c r="H3" s="201"/>
      <c r="I3" s="201"/>
      <c r="J3" s="201"/>
      <c r="K3" s="201"/>
      <c r="L3" s="201"/>
      <c r="M3" s="201"/>
      <c r="N3" s="201"/>
      <c r="O3" s="201"/>
      <c r="P3" s="201"/>
      <c r="Q3" s="201"/>
      <c r="R3" s="201"/>
      <c r="S3" s="201"/>
    </row>
    <row r="4" spans="1:19">
      <c r="A4" s="202" t="s">
        <v>46</v>
      </c>
      <c r="B4" s="202"/>
      <c r="C4" s="202"/>
      <c r="D4" s="202"/>
      <c r="E4" s="202"/>
      <c r="F4" s="202"/>
      <c r="G4" s="202"/>
      <c r="H4" s="202"/>
      <c r="I4" s="202"/>
      <c r="J4" s="202"/>
      <c r="K4" s="202"/>
      <c r="L4" s="202"/>
      <c r="M4" s="202"/>
      <c r="N4" s="202"/>
      <c r="O4" s="202"/>
      <c r="P4" s="202"/>
      <c r="Q4" s="202"/>
      <c r="R4" s="202"/>
      <c r="S4" s="202"/>
    </row>
    <row r="5" spans="1:19">
      <c r="A5" s="202"/>
      <c r="B5" s="202"/>
      <c r="C5" s="202"/>
      <c r="D5" s="202"/>
      <c r="E5" s="202"/>
      <c r="F5" s="202"/>
      <c r="G5" s="202"/>
      <c r="H5" s="202"/>
      <c r="I5" s="202"/>
      <c r="J5" s="202"/>
      <c r="K5" s="202"/>
      <c r="L5" s="202"/>
      <c r="M5" s="202"/>
      <c r="N5" s="202"/>
      <c r="O5" s="202"/>
      <c r="P5" s="202"/>
      <c r="Q5" s="202"/>
      <c r="R5" s="202"/>
      <c r="S5" s="202"/>
    </row>
    <row r="6" spans="1:19" ht="5.25" customHeight="1" thickBot="1">
      <c r="A6" s="175"/>
      <c r="B6" s="175"/>
      <c r="C6" s="175"/>
      <c r="D6" s="175"/>
      <c r="E6" s="175"/>
      <c r="F6" s="175"/>
      <c r="G6" s="175"/>
      <c r="H6" s="175"/>
      <c r="I6" s="175"/>
      <c r="J6" s="175"/>
      <c r="K6" s="175"/>
      <c r="L6" s="175"/>
      <c r="M6" s="175"/>
      <c r="N6" s="175"/>
      <c r="O6" s="175"/>
      <c r="P6" s="175"/>
      <c r="Q6" s="175"/>
      <c r="R6" s="175"/>
      <c r="S6" s="175"/>
    </row>
    <row r="7" spans="1:19">
      <c r="A7" s="209" t="s">
        <v>47</v>
      </c>
      <c r="B7" s="210"/>
      <c r="C7" s="210"/>
      <c r="D7" s="210"/>
      <c r="E7" s="210"/>
      <c r="F7" s="210"/>
      <c r="G7" s="210"/>
      <c r="H7" s="210"/>
      <c r="I7" s="210"/>
      <c r="J7" s="210"/>
      <c r="K7" s="210"/>
      <c r="L7" s="210"/>
      <c r="M7" s="210"/>
      <c r="N7" s="210"/>
      <c r="O7" s="210"/>
      <c r="P7" s="210"/>
      <c r="Q7" s="210"/>
      <c r="R7" s="210"/>
      <c r="S7" s="211"/>
    </row>
    <row r="8" spans="1:19">
      <c r="A8" s="212" t="s">
        <v>48</v>
      </c>
      <c r="B8" s="201"/>
      <c r="C8" s="201"/>
      <c r="D8" s="201"/>
      <c r="E8" s="201"/>
      <c r="F8" s="201"/>
      <c r="G8" s="201"/>
      <c r="H8" s="201"/>
      <c r="I8" s="201"/>
      <c r="J8" s="201"/>
      <c r="K8" s="201"/>
      <c r="L8" s="201"/>
      <c r="M8" s="201"/>
      <c r="N8" s="201"/>
      <c r="O8" s="201"/>
      <c r="P8" s="201"/>
      <c r="Q8" s="201"/>
      <c r="R8" s="201"/>
      <c r="S8" s="213"/>
    </row>
    <row r="9" spans="1:19">
      <c r="A9" s="212"/>
      <c r="B9" s="201"/>
      <c r="C9" s="201"/>
      <c r="D9" s="201"/>
      <c r="E9" s="201"/>
      <c r="F9" s="201"/>
      <c r="G9" s="201"/>
      <c r="H9" s="201"/>
      <c r="I9" s="201"/>
      <c r="J9" s="201"/>
      <c r="K9" s="201"/>
      <c r="L9" s="201"/>
      <c r="M9" s="201"/>
      <c r="N9" s="201"/>
      <c r="O9" s="201"/>
      <c r="P9" s="201"/>
      <c r="Q9" s="201"/>
      <c r="R9" s="201"/>
      <c r="S9" s="213"/>
    </row>
    <row r="10" spans="1:19">
      <c r="A10" s="212"/>
      <c r="B10" s="201"/>
      <c r="C10" s="201"/>
      <c r="D10" s="201"/>
      <c r="E10" s="201"/>
      <c r="F10" s="201"/>
      <c r="G10" s="201"/>
      <c r="H10" s="201"/>
      <c r="I10" s="201"/>
      <c r="J10" s="201"/>
      <c r="K10" s="201"/>
      <c r="L10" s="201"/>
      <c r="M10" s="201"/>
      <c r="N10" s="201"/>
      <c r="O10" s="201"/>
      <c r="P10" s="201"/>
      <c r="Q10" s="201"/>
      <c r="R10" s="201"/>
      <c r="S10" s="213"/>
    </row>
    <row r="11" spans="1:19">
      <c r="A11" s="212"/>
      <c r="B11" s="201"/>
      <c r="C11" s="201"/>
      <c r="D11" s="201"/>
      <c r="E11" s="201"/>
      <c r="F11" s="201"/>
      <c r="G11" s="201"/>
      <c r="H11" s="201"/>
      <c r="I11" s="201"/>
      <c r="J11" s="201"/>
      <c r="K11" s="201"/>
      <c r="L11" s="201"/>
      <c r="M11" s="201"/>
      <c r="N11" s="201"/>
      <c r="O11" s="201"/>
      <c r="P11" s="201"/>
      <c r="Q11" s="201"/>
      <c r="R11" s="201"/>
      <c r="S11" s="213"/>
    </row>
    <row r="12" spans="1:19">
      <c r="A12" s="212" t="s">
        <v>49</v>
      </c>
      <c r="B12" s="201"/>
      <c r="C12" s="201"/>
      <c r="D12" s="201"/>
      <c r="E12" s="201"/>
      <c r="F12" s="201"/>
      <c r="G12" s="201"/>
      <c r="H12" s="201"/>
      <c r="I12" s="201"/>
      <c r="J12" s="201"/>
      <c r="K12" s="201"/>
      <c r="L12" s="201"/>
      <c r="M12" s="201"/>
      <c r="N12" s="201"/>
      <c r="O12" s="201"/>
      <c r="P12" s="201"/>
      <c r="Q12" s="201"/>
      <c r="R12" s="201"/>
      <c r="S12" s="213"/>
    </row>
    <row r="13" spans="1:19">
      <c r="A13" s="212"/>
      <c r="B13" s="201"/>
      <c r="C13" s="201"/>
      <c r="D13" s="201"/>
      <c r="E13" s="201"/>
      <c r="F13" s="201"/>
      <c r="G13" s="201"/>
      <c r="H13" s="201"/>
      <c r="I13" s="201"/>
      <c r="J13" s="201"/>
      <c r="K13" s="201"/>
      <c r="L13" s="201"/>
      <c r="M13" s="201"/>
      <c r="N13" s="201"/>
      <c r="O13" s="201"/>
      <c r="P13" s="201"/>
      <c r="Q13" s="201"/>
      <c r="R13" s="201"/>
      <c r="S13" s="213"/>
    </row>
    <row r="14" spans="1:19">
      <c r="A14" s="212"/>
      <c r="B14" s="201"/>
      <c r="C14" s="201"/>
      <c r="D14" s="201"/>
      <c r="E14" s="201"/>
      <c r="F14" s="201"/>
      <c r="G14" s="201"/>
      <c r="H14" s="201"/>
      <c r="I14" s="201"/>
      <c r="J14" s="201"/>
      <c r="K14" s="201"/>
      <c r="L14" s="201"/>
      <c r="M14" s="201"/>
      <c r="N14" s="201"/>
      <c r="O14" s="201"/>
      <c r="P14" s="201"/>
      <c r="Q14" s="201"/>
      <c r="R14" s="201"/>
      <c r="S14" s="213"/>
    </row>
    <row r="15" spans="1:19">
      <c r="A15" s="212"/>
      <c r="B15" s="201"/>
      <c r="C15" s="201"/>
      <c r="D15" s="201"/>
      <c r="E15" s="201"/>
      <c r="F15" s="201"/>
      <c r="G15" s="201"/>
      <c r="H15" s="201"/>
      <c r="I15" s="201"/>
      <c r="J15" s="201"/>
      <c r="K15" s="201"/>
      <c r="L15" s="201"/>
      <c r="M15" s="201"/>
      <c r="N15" s="201"/>
      <c r="O15" s="201"/>
      <c r="P15" s="201"/>
      <c r="Q15" s="201"/>
      <c r="R15" s="201"/>
      <c r="S15" s="213"/>
    </row>
    <row r="16" spans="1:19">
      <c r="A16" s="212"/>
      <c r="B16" s="201"/>
      <c r="C16" s="201"/>
      <c r="D16" s="201"/>
      <c r="E16" s="201"/>
      <c r="F16" s="201"/>
      <c r="G16" s="201"/>
      <c r="H16" s="201"/>
      <c r="I16" s="201"/>
      <c r="J16" s="201"/>
      <c r="K16" s="201"/>
      <c r="L16" s="201"/>
      <c r="M16" s="201"/>
      <c r="N16" s="201"/>
      <c r="O16" s="201"/>
      <c r="P16" s="201"/>
      <c r="Q16" s="201"/>
      <c r="R16" s="201"/>
      <c r="S16" s="213"/>
    </row>
    <row r="17" spans="1:19">
      <c r="A17" s="214" t="s">
        <v>50</v>
      </c>
      <c r="B17" s="215"/>
      <c r="C17" s="215"/>
      <c r="D17" s="215"/>
      <c r="E17" s="215"/>
      <c r="F17" s="215"/>
      <c r="G17" s="215"/>
      <c r="H17" s="215"/>
      <c r="I17" s="215"/>
      <c r="J17" s="215"/>
      <c r="K17" s="215"/>
      <c r="L17" s="215"/>
      <c r="M17" s="215"/>
      <c r="N17" s="215"/>
      <c r="O17" s="215"/>
      <c r="P17" s="215"/>
      <c r="Q17" s="215"/>
      <c r="R17" s="215"/>
      <c r="S17" s="216"/>
    </row>
    <row r="18" spans="1:19">
      <c r="A18" s="214"/>
      <c r="B18" s="215"/>
      <c r="C18" s="215"/>
      <c r="D18" s="215"/>
      <c r="E18" s="215"/>
      <c r="F18" s="215"/>
      <c r="G18" s="215"/>
      <c r="H18" s="215"/>
      <c r="I18" s="215"/>
      <c r="J18" s="215"/>
      <c r="K18" s="215"/>
      <c r="L18" s="215"/>
      <c r="M18" s="215"/>
      <c r="N18" s="215"/>
      <c r="O18" s="215"/>
      <c r="P18" s="215"/>
      <c r="Q18" s="215"/>
      <c r="R18" s="215"/>
      <c r="S18" s="216"/>
    </row>
    <row r="19" spans="1:19">
      <c r="A19" s="214"/>
      <c r="B19" s="215"/>
      <c r="C19" s="215"/>
      <c r="D19" s="215"/>
      <c r="E19" s="215"/>
      <c r="F19" s="215"/>
      <c r="G19" s="215"/>
      <c r="H19" s="215"/>
      <c r="I19" s="215"/>
      <c r="J19" s="215"/>
      <c r="K19" s="215"/>
      <c r="L19" s="215"/>
      <c r="M19" s="215"/>
      <c r="N19" s="215"/>
      <c r="O19" s="215"/>
      <c r="P19" s="215"/>
      <c r="Q19" s="215"/>
      <c r="R19" s="215"/>
      <c r="S19" s="216"/>
    </row>
    <row r="20" spans="1:19" ht="17.25" customHeight="1">
      <c r="A20" s="214" t="s">
        <v>51</v>
      </c>
      <c r="B20" s="215"/>
      <c r="C20" s="215"/>
      <c r="D20" s="215"/>
      <c r="E20" s="215"/>
      <c r="F20" s="215"/>
      <c r="G20" s="215"/>
      <c r="H20" s="215"/>
      <c r="I20" s="215"/>
      <c r="J20" s="215"/>
      <c r="K20" s="215"/>
      <c r="L20" s="215"/>
      <c r="M20" s="215"/>
      <c r="N20" s="215"/>
      <c r="O20" s="215"/>
      <c r="P20" s="215"/>
      <c r="Q20" s="215"/>
      <c r="R20" s="215"/>
      <c r="S20" s="216"/>
    </row>
    <row r="21" spans="1:19" ht="17.25" customHeight="1">
      <c r="A21" s="214"/>
      <c r="B21" s="215"/>
      <c r="C21" s="215"/>
      <c r="D21" s="215"/>
      <c r="E21" s="215"/>
      <c r="F21" s="215"/>
      <c r="G21" s="215"/>
      <c r="H21" s="215"/>
      <c r="I21" s="215"/>
      <c r="J21" s="215"/>
      <c r="K21" s="215"/>
      <c r="L21" s="215"/>
      <c r="M21" s="215"/>
      <c r="N21" s="215"/>
      <c r="O21" s="215"/>
      <c r="P21" s="215"/>
      <c r="Q21" s="215"/>
      <c r="R21" s="215"/>
      <c r="S21" s="216"/>
    </row>
    <row r="22" spans="1:19" ht="12.75" customHeight="1">
      <c r="A22" s="214"/>
      <c r="B22" s="215"/>
      <c r="C22" s="215"/>
      <c r="D22" s="215"/>
      <c r="E22" s="215"/>
      <c r="F22" s="215"/>
      <c r="G22" s="215"/>
      <c r="H22" s="215"/>
      <c r="I22" s="215"/>
      <c r="J22" s="215"/>
      <c r="K22" s="215"/>
      <c r="L22" s="215"/>
      <c r="M22" s="215"/>
      <c r="N22" s="215"/>
      <c r="O22" s="215"/>
      <c r="P22" s="215"/>
      <c r="Q22" s="215"/>
      <c r="R22" s="215"/>
      <c r="S22" s="216"/>
    </row>
    <row r="23" spans="1:19" ht="17.25" customHeight="1">
      <c r="A23" s="214"/>
      <c r="B23" s="215"/>
      <c r="C23" s="215"/>
      <c r="D23" s="215"/>
      <c r="E23" s="215"/>
      <c r="F23" s="215"/>
      <c r="G23" s="215"/>
      <c r="H23" s="215"/>
      <c r="I23" s="215"/>
      <c r="J23" s="215"/>
      <c r="K23" s="215"/>
      <c r="L23" s="215"/>
      <c r="M23" s="215"/>
      <c r="N23" s="215"/>
      <c r="O23" s="215"/>
      <c r="P23" s="215"/>
      <c r="Q23" s="215"/>
      <c r="R23" s="215"/>
      <c r="S23" s="216"/>
    </row>
    <row r="24" spans="1:19" ht="17.25" customHeight="1">
      <c r="A24" s="214"/>
      <c r="B24" s="215"/>
      <c r="C24" s="215"/>
      <c r="D24" s="215"/>
      <c r="E24" s="215"/>
      <c r="F24" s="215"/>
      <c r="G24" s="215"/>
      <c r="H24" s="215"/>
      <c r="I24" s="215"/>
      <c r="J24" s="215"/>
      <c r="K24" s="215"/>
      <c r="L24" s="215"/>
      <c r="M24" s="215"/>
      <c r="N24" s="215"/>
      <c r="O24" s="215"/>
      <c r="P24" s="215"/>
      <c r="Q24" s="215"/>
      <c r="R24" s="215"/>
      <c r="S24" s="216"/>
    </row>
    <row r="25" spans="1:19" ht="21.75" customHeight="1" thickBot="1">
      <c r="A25" s="217"/>
      <c r="B25" s="218"/>
      <c r="C25" s="218"/>
      <c r="D25" s="218"/>
      <c r="E25" s="218"/>
      <c r="F25" s="218"/>
      <c r="G25" s="218"/>
      <c r="H25" s="218"/>
      <c r="I25" s="218"/>
      <c r="J25" s="218"/>
      <c r="K25" s="218"/>
      <c r="L25" s="218"/>
      <c r="M25" s="218"/>
      <c r="N25" s="218"/>
      <c r="O25" s="218"/>
      <c r="P25" s="218"/>
      <c r="Q25" s="218"/>
      <c r="R25" s="218"/>
      <c r="S25" s="219"/>
    </row>
    <row r="26" spans="1:19" ht="7.5" customHeight="1" thickBot="1">
      <c r="A26" s="91"/>
    </row>
    <row r="27" spans="1:19">
      <c r="A27" s="209" t="s">
        <v>52</v>
      </c>
      <c r="B27" s="210"/>
      <c r="C27" s="210"/>
      <c r="D27" s="210"/>
      <c r="E27" s="210"/>
      <c r="F27" s="210"/>
      <c r="G27" s="210"/>
      <c r="H27" s="210"/>
      <c r="I27" s="210"/>
      <c r="J27" s="210"/>
      <c r="K27" s="210"/>
      <c r="L27" s="210"/>
      <c r="M27" s="210"/>
      <c r="N27" s="210"/>
      <c r="O27" s="210"/>
      <c r="P27" s="210"/>
      <c r="Q27" s="210"/>
      <c r="R27" s="210"/>
      <c r="S27" s="211"/>
    </row>
    <row r="28" spans="1:19">
      <c r="A28" s="92"/>
      <c r="S28" s="37"/>
    </row>
    <row r="29" spans="1:19">
      <c r="A29" s="203" t="s">
        <v>53</v>
      </c>
      <c r="B29" s="204"/>
      <c r="C29" s="204"/>
      <c r="D29" s="204"/>
      <c r="E29" s="204"/>
      <c r="F29" s="204"/>
      <c r="G29" s="204"/>
      <c r="H29" s="204"/>
      <c r="I29" s="204"/>
      <c r="J29" s="204"/>
      <c r="K29" s="204"/>
      <c r="L29" s="204"/>
      <c r="M29" s="204"/>
      <c r="N29" s="204"/>
      <c r="O29" s="204"/>
      <c r="P29" s="204"/>
      <c r="Q29" s="204"/>
      <c r="R29" s="204"/>
      <c r="S29" s="205"/>
    </row>
    <row r="30" spans="1:19" ht="15" customHeight="1">
      <c r="A30" s="203"/>
      <c r="B30" s="204"/>
      <c r="C30" s="204"/>
      <c r="D30" s="204"/>
      <c r="E30" s="204"/>
      <c r="F30" s="204"/>
      <c r="G30" s="204"/>
      <c r="H30" s="204"/>
      <c r="I30" s="204"/>
      <c r="J30" s="204"/>
      <c r="K30" s="204"/>
      <c r="L30" s="204"/>
      <c r="M30" s="204"/>
      <c r="N30" s="204"/>
      <c r="O30" s="204"/>
      <c r="P30" s="204"/>
      <c r="Q30" s="204"/>
      <c r="R30" s="204"/>
      <c r="S30" s="205"/>
    </row>
    <row r="31" spans="1:19">
      <c r="A31" s="203" t="s">
        <v>54</v>
      </c>
      <c r="B31" s="204"/>
      <c r="C31" s="204"/>
      <c r="D31" s="204"/>
      <c r="E31" s="204"/>
      <c r="F31" s="204"/>
      <c r="G31" s="204"/>
      <c r="H31" s="204"/>
      <c r="I31" s="204"/>
      <c r="J31" s="204"/>
      <c r="K31" s="204"/>
      <c r="L31" s="204"/>
      <c r="M31" s="204"/>
      <c r="N31" s="204"/>
      <c r="O31" s="204"/>
      <c r="P31" s="204"/>
      <c r="Q31" s="204"/>
      <c r="R31" s="204"/>
      <c r="S31" s="205"/>
    </row>
    <row r="32" spans="1:19">
      <c r="A32" s="203"/>
      <c r="B32" s="204"/>
      <c r="C32" s="204"/>
      <c r="D32" s="204"/>
      <c r="E32" s="204"/>
      <c r="F32" s="204"/>
      <c r="G32" s="204"/>
      <c r="H32" s="204"/>
      <c r="I32" s="204"/>
      <c r="J32" s="204"/>
      <c r="K32" s="204"/>
      <c r="L32" s="204"/>
      <c r="M32" s="204"/>
      <c r="N32" s="204"/>
      <c r="O32" s="204"/>
      <c r="P32" s="204"/>
      <c r="Q32" s="204"/>
      <c r="R32" s="204"/>
      <c r="S32" s="205"/>
    </row>
    <row r="33" spans="1:19">
      <c r="A33" s="203"/>
      <c r="B33" s="204"/>
      <c r="C33" s="204"/>
      <c r="D33" s="204"/>
      <c r="E33" s="204"/>
      <c r="F33" s="204"/>
      <c r="G33" s="204"/>
      <c r="H33" s="204"/>
      <c r="I33" s="204"/>
      <c r="J33" s="204"/>
      <c r="K33" s="204"/>
      <c r="L33" s="204"/>
      <c r="M33" s="204"/>
      <c r="N33" s="204"/>
      <c r="O33" s="204"/>
      <c r="P33" s="204"/>
      <c r="Q33" s="204"/>
      <c r="R33" s="204"/>
      <c r="S33" s="205"/>
    </row>
    <row r="34" spans="1:19">
      <c r="A34" s="203" t="s">
        <v>55</v>
      </c>
      <c r="B34" s="204"/>
      <c r="C34" s="204"/>
      <c r="D34" s="204"/>
      <c r="E34" s="204"/>
      <c r="F34" s="204"/>
      <c r="G34" s="204"/>
      <c r="H34" s="204"/>
      <c r="I34" s="204"/>
      <c r="J34" s="204"/>
      <c r="K34" s="204"/>
      <c r="L34" s="204"/>
      <c r="M34" s="204"/>
      <c r="N34" s="204"/>
      <c r="O34" s="204"/>
      <c r="P34" s="204"/>
      <c r="Q34" s="204"/>
      <c r="R34" s="204"/>
      <c r="S34" s="205"/>
    </row>
    <row r="35" spans="1:19">
      <c r="A35" s="203"/>
      <c r="B35" s="204"/>
      <c r="C35" s="204"/>
      <c r="D35" s="204"/>
      <c r="E35" s="204"/>
      <c r="F35" s="204"/>
      <c r="G35" s="204"/>
      <c r="H35" s="204"/>
      <c r="I35" s="204"/>
      <c r="J35" s="204"/>
      <c r="K35" s="204"/>
      <c r="L35" s="204"/>
      <c r="M35" s="204"/>
      <c r="N35" s="204"/>
      <c r="O35" s="204"/>
      <c r="P35" s="204"/>
      <c r="Q35" s="204"/>
      <c r="R35" s="204"/>
      <c r="S35" s="205"/>
    </row>
    <row r="36" spans="1:19">
      <c r="A36" s="206"/>
      <c r="B36" s="207"/>
      <c r="C36" s="207"/>
      <c r="D36" s="207"/>
      <c r="E36" s="207"/>
      <c r="F36" s="207"/>
      <c r="G36" s="207"/>
      <c r="H36" s="207"/>
      <c r="I36" s="207"/>
      <c r="J36" s="207"/>
      <c r="K36" s="207"/>
      <c r="L36" s="207"/>
      <c r="M36" s="207"/>
      <c r="N36" s="207"/>
      <c r="O36" s="207"/>
      <c r="P36" s="207"/>
      <c r="Q36" s="207"/>
      <c r="R36" s="207"/>
      <c r="S36" s="208"/>
    </row>
    <row r="37" spans="1:19" ht="9.75" customHeight="1" thickBot="1"/>
    <row r="38" spans="1:19">
      <c r="A38" s="209" t="s">
        <v>56</v>
      </c>
      <c r="B38" s="210"/>
      <c r="C38" s="210"/>
      <c r="D38" s="210"/>
      <c r="E38" s="210"/>
      <c r="F38" s="210"/>
      <c r="G38" s="210"/>
      <c r="H38" s="210"/>
      <c r="I38" s="210"/>
      <c r="J38" s="210"/>
      <c r="K38" s="210"/>
      <c r="L38" s="210"/>
      <c r="M38" s="210"/>
      <c r="N38" s="210"/>
      <c r="O38" s="210"/>
      <c r="P38" s="210"/>
      <c r="Q38" s="210"/>
      <c r="R38" s="210"/>
      <c r="S38" s="211"/>
    </row>
    <row r="39" spans="1:19">
      <c r="A39" s="178"/>
      <c r="S39" s="37"/>
    </row>
    <row r="40" spans="1:19">
      <c r="A40" s="232" t="s">
        <v>57</v>
      </c>
      <c r="B40" s="233"/>
      <c r="C40" s="233"/>
      <c r="D40" s="233"/>
      <c r="E40" s="233"/>
      <c r="F40" s="233"/>
      <c r="G40" s="233"/>
      <c r="H40" s="233"/>
      <c r="I40" s="233"/>
      <c r="J40" s="233"/>
      <c r="K40" s="233"/>
      <c r="L40" s="233"/>
      <c r="M40" s="233"/>
      <c r="N40" s="233"/>
      <c r="O40" s="233"/>
      <c r="P40" s="233"/>
      <c r="Q40" s="233"/>
      <c r="R40" s="233"/>
      <c r="S40" s="234"/>
    </row>
    <row r="41" spans="1:19">
      <c r="A41" s="232"/>
      <c r="B41" s="233"/>
      <c r="C41" s="233"/>
      <c r="D41" s="233"/>
      <c r="E41" s="233"/>
      <c r="F41" s="233"/>
      <c r="G41" s="233"/>
      <c r="H41" s="233"/>
      <c r="I41" s="233"/>
      <c r="J41" s="233"/>
      <c r="K41" s="233"/>
      <c r="L41" s="233"/>
      <c r="M41" s="233"/>
      <c r="N41" s="233"/>
      <c r="O41" s="233"/>
      <c r="P41" s="233"/>
      <c r="Q41" s="233"/>
      <c r="R41" s="233"/>
      <c r="S41" s="234"/>
    </row>
    <row r="42" spans="1:19" ht="15" customHeight="1">
      <c r="A42" s="232" t="s">
        <v>58</v>
      </c>
      <c r="B42" s="233"/>
      <c r="C42" s="233"/>
      <c r="D42" s="233"/>
      <c r="E42" s="233"/>
      <c r="F42" s="233"/>
      <c r="G42" s="233"/>
      <c r="H42" s="233"/>
      <c r="I42" s="233"/>
      <c r="J42" s="233"/>
      <c r="K42" s="233"/>
      <c r="L42" s="233"/>
      <c r="M42" s="233"/>
      <c r="N42" s="233"/>
      <c r="O42" s="233"/>
      <c r="P42" s="233"/>
      <c r="Q42" s="233"/>
      <c r="R42" s="233"/>
      <c r="S42" s="234"/>
    </row>
    <row r="43" spans="1:19">
      <c r="A43" s="232"/>
      <c r="B43" s="233"/>
      <c r="C43" s="233"/>
      <c r="D43" s="233"/>
      <c r="E43" s="233"/>
      <c r="F43" s="233"/>
      <c r="G43" s="233"/>
      <c r="H43" s="233"/>
      <c r="I43" s="233"/>
      <c r="J43" s="233"/>
      <c r="K43" s="233"/>
      <c r="L43" s="233"/>
      <c r="M43" s="233"/>
      <c r="N43" s="233"/>
      <c r="O43" s="233"/>
      <c r="P43" s="233"/>
      <c r="Q43" s="233"/>
      <c r="R43" s="233"/>
      <c r="S43" s="234"/>
    </row>
    <row r="44" spans="1:19">
      <c r="A44" s="232"/>
      <c r="B44" s="233"/>
      <c r="C44" s="233"/>
      <c r="D44" s="233"/>
      <c r="E44" s="233"/>
      <c r="F44" s="233"/>
      <c r="G44" s="233"/>
      <c r="H44" s="233"/>
      <c r="I44" s="233"/>
      <c r="J44" s="233"/>
      <c r="K44" s="233"/>
      <c r="L44" s="233"/>
      <c r="M44" s="233"/>
      <c r="N44" s="233"/>
      <c r="O44" s="233"/>
      <c r="P44" s="233"/>
      <c r="Q44" s="233"/>
      <c r="R44" s="233"/>
      <c r="S44" s="234"/>
    </row>
    <row r="45" spans="1:19">
      <c r="A45" s="232"/>
      <c r="B45" s="233"/>
      <c r="C45" s="233"/>
      <c r="D45" s="233"/>
      <c r="E45" s="233"/>
      <c r="F45" s="233"/>
      <c r="G45" s="233"/>
      <c r="H45" s="233"/>
      <c r="I45" s="233"/>
      <c r="J45" s="233"/>
      <c r="K45" s="233"/>
      <c r="L45" s="233"/>
      <c r="M45" s="233"/>
      <c r="N45" s="233"/>
      <c r="O45" s="233"/>
      <c r="P45" s="233"/>
      <c r="Q45" s="233"/>
      <c r="R45" s="233"/>
      <c r="S45" s="234"/>
    </row>
    <row r="46" spans="1:19">
      <c r="A46" s="232"/>
      <c r="B46" s="233"/>
      <c r="C46" s="233"/>
      <c r="D46" s="233"/>
      <c r="E46" s="233"/>
      <c r="F46" s="233"/>
      <c r="G46" s="233"/>
      <c r="H46" s="233"/>
      <c r="I46" s="233"/>
      <c r="J46" s="233"/>
      <c r="K46" s="233"/>
      <c r="L46" s="233"/>
      <c r="M46" s="233"/>
      <c r="N46" s="233"/>
      <c r="O46" s="233"/>
      <c r="P46" s="233"/>
      <c r="Q46" s="233"/>
      <c r="R46" s="233"/>
      <c r="S46" s="234"/>
    </row>
    <row r="47" spans="1:19">
      <c r="A47" s="232"/>
      <c r="B47" s="233"/>
      <c r="C47" s="233"/>
      <c r="D47" s="233"/>
      <c r="E47" s="233"/>
      <c r="F47" s="233"/>
      <c r="G47" s="233"/>
      <c r="H47" s="233"/>
      <c r="I47" s="233"/>
      <c r="J47" s="233"/>
      <c r="K47" s="233"/>
      <c r="L47" s="233"/>
      <c r="M47" s="233"/>
      <c r="N47" s="233"/>
      <c r="O47" s="233"/>
      <c r="P47" s="233"/>
      <c r="Q47" s="233"/>
      <c r="R47" s="233"/>
      <c r="S47" s="234"/>
    </row>
    <row r="48" spans="1:19" ht="15" customHeight="1">
      <c r="A48" s="220" t="s">
        <v>59</v>
      </c>
      <c r="B48" s="221"/>
      <c r="C48" s="221"/>
      <c r="D48" s="221"/>
      <c r="E48" s="221"/>
      <c r="F48" s="221"/>
      <c r="G48" s="221"/>
      <c r="H48" s="221"/>
      <c r="I48" s="221"/>
      <c r="J48" s="221"/>
      <c r="K48" s="221"/>
      <c r="L48" s="221"/>
      <c r="M48" s="221"/>
      <c r="N48" s="221"/>
      <c r="O48" s="221"/>
      <c r="P48" s="221"/>
      <c r="Q48" s="221"/>
      <c r="R48" s="221"/>
      <c r="S48" s="222"/>
    </row>
    <row r="49" spans="1:19">
      <c r="A49" s="220"/>
      <c r="B49" s="221"/>
      <c r="C49" s="221"/>
      <c r="D49" s="221"/>
      <c r="E49" s="221"/>
      <c r="F49" s="221"/>
      <c r="G49" s="221"/>
      <c r="H49" s="221"/>
      <c r="I49" s="221"/>
      <c r="J49" s="221"/>
      <c r="K49" s="221"/>
      <c r="L49" s="221"/>
      <c r="M49" s="221"/>
      <c r="N49" s="221"/>
      <c r="O49" s="221"/>
      <c r="P49" s="221"/>
      <c r="Q49" s="221"/>
      <c r="R49" s="221"/>
      <c r="S49" s="222"/>
    </row>
    <row r="50" spans="1:19">
      <c r="A50" s="220"/>
      <c r="B50" s="221"/>
      <c r="C50" s="221"/>
      <c r="D50" s="221"/>
      <c r="E50" s="221"/>
      <c r="F50" s="221"/>
      <c r="G50" s="221"/>
      <c r="H50" s="221"/>
      <c r="I50" s="221"/>
      <c r="J50" s="221"/>
      <c r="K50" s="221"/>
      <c r="L50" s="221"/>
      <c r="M50" s="221"/>
      <c r="N50" s="221"/>
      <c r="O50" s="221"/>
      <c r="P50" s="221"/>
      <c r="Q50" s="221"/>
      <c r="R50" s="221"/>
      <c r="S50" s="222"/>
    </row>
    <row r="51" spans="1:19">
      <c r="A51" s="220"/>
      <c r="B51" s="221"/>
      <c r="C51" s="221"/>
      <c r="D51" s="221"/>
      <c r="E51" s="221"/>
      <c r="F51" s="221"/>
      <c r="G51" s="221"/>
      <c r="H51" s="221"/>
      <c r="I51" s="221"/>
      <c r="J51" s="221"/>
      <c r="K51" s="221"/>
      <c r="L51" s="221"/>
      <c r="M51" s="221"/>
      <c r="N51" s="221"/>
      <c r="O51" s="221"/>
      <c r="P51" s="221"/>
      <c r="Q51" s="221"/>
      <c r="R51" s="221"/>
      <c r="S51" s="222"/>
    </row>
    <row r="52" spans="1:19">
      <c r="A52" s="220"/>
      <c r="B52" s="221"/>
      <c r="C52" s="221"/>
      <c r="D52" s="221"/>
      <c r="E52" s="221"/>
      <c r="F52" s="221"/>
      <c r="G52" s="221"/>
      <c r="H52" s="221"/>
      <c r="I52" s="221"/>
      <c r="J52" s="221"/>
      <c r="K52" s="221"/>
      <c r="L52" s="221"/>
      <c r="M52" s="221"/>
      <c r="N52" s="221"/>
      <c r="O52" s="221"/>
      <c r="P52" s="221"/>
      <c r="Q52" s="221"/>
      <c r="R52" s="221"/>
      <c r="S52" s="222"/>
    </row>
    <row r="53" spans="1:19">
      <c r="A53" s="220"/>
      <c r="B53" s="221"/>
      <c r="C53" s="221"/>
      <c r="D53" s="221"/>
      <c r="E53" s="221"/>
      <c r="F53" s="221"/>
      <c r="G53" s="221"/>
      <c r="H53" s="221"/>
      <c r="I53" s="221"/>
      <c r="J53" s="221"/>
      <c r="K53" s="221"/>
      <c r="L53" s="221"/>
      <c r="M53" s="221"/>
      <c r="N53" s="221"/>
      <c r="O53" s="221"/>
      <c r="P53" s="221"/>
      <c r="Q53" s="221"/>
      <c r="R53" s="221"/>
      <c r="S53" s="222"/>
    </row>
    <row r="54" spans="1:19" ht="15.75" thickBot="1">
      <c r="A54" s="223"/>
      <c r="B54" s="224"/>
      <c r="C54" s="224"/>
      <c r="D54" s="224"/>
      <c r="E54" s="224"/>
      <c r="F54" s="224"/>
      <c r="G54" s="224"/>
      <c r="H54" s="224"/>
      <c r="I54" s="224"/>
      <c r="J54" s="224"/>
      <c r="K54" s="224"/>
      <c r="L54" s="224"/>
      <c r="M54" s="224"/>
      <c r="N54" s="224"/>
      <c r="O54" s="224"/>
      <c r="P54" s="224"/>
      <c r="Q54" s="224"/>
      <c r="R54" s="224"/>
      <c r="S54" s="225"/>
    </row>
    <row r="55" spans="1:19">
      <c r="A55" s="226" t="s">
        <v>60</v>
      </c>
      <c r="B55" s="227"/>
      <c r="C55" s="227"/>
      <c r="D55" s="227"/>
      <c r="E55" s="227"/>
      <c r="F55" s="227"/>
      <c r="G55" s="227"/>
      <c r="H55" s="227"/>
      <c r="I55" s="227"/>
      <c r="J55" s="227"/>
      <c r="K55" s="227"/>
      <c r="L55" s="227"/>
      <c r="M55" s="227"/>
      <c r="N55" s="227"/>
      <c r="O55" s="227"/>
      <c r="P55" s="227"/>
      <c r="Q55" s="227"/>
      <c r="R55" s="227"/>
      <c r="S55" s="228"/>
    </row>
    <row r="56" spans="1:19" ht="15.75" thickBot="1">
      <c r="A56" s="229"/>
      <c r="B56" s="230"/>
      <c r="C56" s="230"/>
      <c r="D56" s="230"/>
      <c r="E56" s="230"/>
      <c r="F56" s="230"/>
      <c r="G56" s="230"/>
      <c r="H56" s="230"/>
      <c r="I56" s="230"/>
      <c r="J56" s="230"/>
      <c r="K56" s="230"/>
      <c r="L56" s="230"/>
      <c r="M56" s="230"/>
      <c r="N56" s="230"/>
      <c r="O56" s="230"/>
      <c r="P56" s="230"/>
      <c r="Q56" s="230"/>
      <c r="R56" s="230"/>
      <c r="S56" s="231"/>
    </row>
  </sheetData>
  <sheetProtection algorithmName="SHA-512" hashValue="hdlc+qrzdpYJieB+ELq54I5W3kzNiyiP3oiC2AMyDyn0EbUvTTjKF7B+jyk60oPLxPVwq8z1hn2HJnXuGlG+5Q==" saltValue="OfTvN4pg5Xpof/n4dB5Ycw==" spinCount="100000" sheet="1" objects="1" scenarios="1"/>
  <mergeCells count="16">
    <mergeCell ref="A48:S54"/>
    <mergeCell ref="A55:S56"/>
    <mergeCell ref="A38:S38"/>
    <mergeCell ref="A40:S41"/>
    <mergeCell ref="A42:S47"/>
    <mergeCell ref="A2:S3"/>
    <mergeCell ref="A4:S5"/>
    <mergeCell ref="A29:S30"/>
    <mergeCell ref="A31:S33"/>
    <mergeCell ref="A34:S36"/>
    <mergeCell ref="A27:S27"/>
    <mergeCell ref="A7:S7"/>
    <mergeCell ref="A8:S11"/>
    <mergeCell ref="A12:S16"/>
    <mergeCell ref="A17:S19"/>
    <mergeCell ref="A20:S25"/>
  </mergeCells>
  <hyperlinks>
    <hyperlink ref="H1" r:id="rId1" xr:uid="{4F197B1D-7F71-40FD-A734-2AFE99EA25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C2AC-5265-4021-8DFB-E0D2AE0DC3A4}">
  <dimension ref="B1:E57"/>
  <sheetViews>
    <sheetView zoomScaleNormal="100" workbookViewId="0"/>
  </sheetViews>
  <sheetFormatPr defaultColWidth="9" defaultRowHeight="15" customHeight="1"/>
  <cols>
    <col min="1" max="1" width="3.5703125" style="53" customWidth="1"/>
    <col min="2" max="2" width="9.28515625" style="53" customWidth="1"/>
    <col min="3" max="3" width="73.28515625" style="53" customWidth="1"/>
    <col min="4" max="4" width="100.28515625" style="53" customWidth="1"/>
    <col min="5" max="5" width="37" style="53" customWidth="1"/>
    <col min="6" max="16384" width="9" style="53"/>
  </cols>
  <sheetData>
    <row r="1" spans="2:5" ht="33.75" customHeight="1" thickBot="1">
      <c r="B1" s="257" t="s">
        <v>61</v>
      </c>
      <c r="C1" s="258"/>
      <c r="D1" s="258"/>
      <c r="E1" s="259"/>
    </row>
    <row r="2" spans="2:5" s="64" customFormat="1" ht="15" customHeight="1" thickBot="1">
      <c r="B2" s="83" t="s">
        <v>62</v>
      </c>
      <c r="C2" s="84" t="s">
        <v>63</v>
      </c>
      <c r="D2" s="84" t="s">
        <v>64</v>
      </c>
      <c r="E2" s="85" t="s">
        <v>65</v>
      </c>
    </row>
    <row r="3" spans="2:5" ht="15" customHeight="1">
      <c r="B3" s="266" t="s">
        <v>66</v>
      </c>
      <c r="C3" s="267"/>
      <c r="D3" s="267"/>
      <c r="E3" s="268"/>
    </row>
    <row r="4" spans="2:5" s="60" customFormat="1" ht="15" customHeight="1">
      <c r="B4" s="68" t="str">
        <f>HYPERLINK("#"&amp;"'R1-R10'!D2:U2","R1")</f>
        <v>R1</v>
      </c>
      <c r="C4" s="65" t="s">
        <v>67</v>
      </c>
      <c r="D4" s="65" t="s">
        <v>68</v>
      </c>
      <c r="E4" s="69" t="s">
        <v>69</v>
      </c>
    </row>
    <row r="5" spans="2:5">
      <c r="B5" s="70" t="str">
        <f>HYPERLINK("#"&amp;"'R1-R10'!D2:U2","R2")</f>
        <v>R2</v>
      </c>
      <c r="C5" s="66" t="s">
        <v>70</v>
      </c>
      <c r="D5" s="66" t="s">
        <v>68</v>
      </c>
      <c r="E5" s="71" t="s">
        <v>69</v>
      </c>
    </row>
    <row r="6" spans="2:5" s="60" customFormat="1">
      <c r="B6" s="68" t="str">
        <f>HYPERLINK("#"&amp;"'R1-R10'!D2:U2","R3")</f>
        <v>R3</v>
      </c>
      <c r="C6" s="65" t="s">
        <v>71</v>
      </c>
      <c r="D6" s="65" t="s">
        <v>72</v>
      </c>
      <c r="E6" s="69" t="s">
        <v>69</v>
      </c>
    </row>
    <row r="7" spans="2:5">
      <c r="B7" s="70" t="str">
        <f>HYPERLINK("#"&amp;"'R1-R10'!D2:U2","R4")</f>
        <v>R4</v>
      </c>
      <c r="C7" s="66" t="s">
        <v>73</v>
      </c>
      <c r="D7" s="66" t="s">
        <v>72</v>
      </c>
      <c r="E7" s="71" t="s">
        <v>69</v>
      </c>
    </row>
    <row r="8" spans="2:5" s="60" customFormat="1">
      <c r="B8" s="68" t="str">
        <f>HYPERLINK("#"&amp;"'R1-R10'!D2:U2","R5")</f>
        <v>R5</v>
      </c>
      <c r="C8" s="65" t="s">
        <v>74</v>
      </c>
      <c r="D8" s="65" t="s">
        <v>72</v>
      </c>
      <c r="E8" s="69" t="s">
        <v>69</v>
      </c>
    </row>
    <row r="9" spans="2:5" s="61" customFormat="1" ht="15" customHeight="1" thickBot="1">
      <c r="B9" s="78" t="str">
        <f>HYPERLINK("#"&amp;"'R1-R10'!D2:U2","R6")</f>
        <v>R6</v>
      </c>
      <c r="C9" s="79" t="s">
        <v>75</v>
      </c>
      <c r="D9" s="79" t="s">
        <v>68</v>
      </c>
      <c r="E9" s="80" t="s">
        <v>69</v>
      </c>
    </row>
    <row r="10" spans="2:5" ht="15" customHeight="1" thickBot="1">
      <c r="B10" s="243" t="s">
        <v>76</v>
      </c>
      <c r="C10" s="244"/>
      <c r="D10" s="244"/>
      <c r="E10" s="245"/>
    </row>
    <row r="11" spans="2:5" ht="45.75" customHeight="1">
      <c r="B11" s="246" t="s">
        <v>77</v>
      </c>
      <c r="C11" s="247"/>
      <c r="D11" s="247"/>
      <c r="E11" s="248"/>
    </row>
    <row r="12" spans="2:5" s="62" customFormat="1" ht="30" customHeight="1">
      <c r="B12" s="73" t="str">
        <f>HYPERLINK("#"&amp;"'R1-R10'!D2:U2","R7")</f>
        <v>R7</v>
      </c>
      <c r="C12" s="67" t="s">
        <v>78</v>
      </c>
      <c r="D12" s="67" t="s">
        <v>79</v>
      </c>
      <c r="E12" s="74" t="s">
        <v>69</v>
      </c>
    </row>
    <row r="13" spans="2:5" ht="20.100000000000001" customHeight="1">
      <c r="B13" s="72" t="str">
        <f>HYPERLINK("#"&amp;"'R1-R10'!D2:U2","R8")</f>
        <v>R8</v>
      </c>
      <c r="C13" s="66"/>
      <c r="D13" s="66" t="s">
        <v>80</v>
      </c>
      <c r="E13" s="71" t="s">
        <v>69</v>
      </c>
    </row>
    <row r="14" spans="2:5" s="63" customFormat="1" ht="30" customHeight="1">
      <c r="B14" s="73" t="str">
        <f>HYPERLINK("#"&amp;"'R1-R10'!D2:U2","R9")</f>
        <v>R9</v>
      </c>
      <c r="C14" s="67" t="s">
        <v>81</v>
      </c>
      <c r="D14" s="67" t="s">
        <v>79</v>
      </c>
      <c r="E14" s="74" t="s">
        <v>69</v>
      </c>
    </row>
    <row r="15" spans="2:5" ht="15" customHeight="1" thickBot="1">
      <c r="B15" s="75" t="str">
        <f>HYPERLINK("#"&amp;"'R1-R10'!D2:U2","R10")</f>
        <v>R10</v>
      </c>
      <c r="C15" s="76"/>
      <c r="D15" s="76" t="s">
        <v>80</v>
      </c>
      <c r="E15" s="77" t="s">
        <v>69</v>
      </c>
    </row>
    <row r="16" spans="2:5" ht="15" customHeight="1" thickBot="1">
      <c r="B16" s="254" t="s">
        <v>82</v>
      </c>
      <c r="C16" s="255"/>
      <c r="D16" s="255"/>
      <c r="E16" s="256"/>
    </row>
    <row r="17" spans="2:5" ht="15" customHeight="1" thickBot="1">
      <c r="B17" s="243" t="s">
        <v>83</v>
      </c>
      <c r="C17" s="244"/>
      <c r="D17" s="244"/>
      <c r="E17" s="245"/>
    </row>
    <row r="18" spans="2:5" ht="45" customHeight="1">
      <c r="B18" s="246" t="s">
        <v>84</v>
      </c>
      <c r="C18" s="247"/>
      <c r="D18" s="247"/>
      <c r="E18" s="248"/>
    </row>
    <row r="19" spans="2:5" s="60" customFormat="1" ht="15" customHeight="1">
      <c r="B19" s="269" t="str">
        <f>HYPERLINK("#"&amp;"'R11-R14,R21-R23'!D2:U2","R11")</f>
        <v>R11</v>
      </c>
      <c r="C19" s="65" t="s">
        <v>85</v>
      </c>
      <c r="D19" s="65" t="s">
        <v>86</v>
      </c>
      <c r="E19" s="69"/>
    </row>
    <row r="20" spans="2:5" s="60" customFormat="1" ht="15" customHeight="1">
      <c r="B20" s="270"/>
      <c r="C20" s="65" t="s">
        <v>87</v>
      </c>
      <c r="D20" s="65" t="s">
        <v>68</v>
      </c>
      <c r="E20" s="69" t="s">
        <v>69</v>
      </c>
    </row>
    <row r="21" spans="2:5" s="60" customFormat="1" ht="15" customHeight="1">
      <c r="B21" s="270"/>
      <c r="C21" s="65" t="s">
        <v>88</v>
      </c>
      <c r="D21" s="65" t="s">
        <v>89</v>
      </c>
      <c r="E21" s="69" t="s">
        <v>69</v>
      </c>
    </row>
    <row r="22" spans="2:5" ht="15" customHeight="1">
      <c r="B22" s="235" t="str">
        <f>HYPERLINK("#"&amp;"'R11-R14,R21-R23'!D2:U2","R12")</f>
        <v>R12</v>
      </c>
      <c r="C22" s="66" t="s">
        <v>85</v>
      </c>
      <c r="D22" s="66" t="s">
        <v>90</v>
      </c>
      <c r="E22" s="71"/>
    </row>
    <row r="23" spans="2:5" ht="15" customHeight="1">
      <c r="B23" s="236"/>
      <c r="C23" s="66" t="s">
        <v>87</v>
      </c>
      <c r="D23" s="66" t="s">
        <v>91</v>
      </c>
      <c r="E23" s="71" t="s">
        <v>69</v>
      </c>
    </row>
    <row r="24" spans="2:5" ht="15" customHeight="1">
      <c r="B24" s="236"/>
      <c r="C24" s="66" t="s">
        <v>88</v>
      </c>
      <c r="D24" s="66" t="s">
        <v>92</v>
      </c>
      <c r="E24" s="71" t="s">
        <v>69</v>
      </c>
    </row>
    <row r="25" spans="2:5" s="60" customFormat="1" ht="15" customHeight="1">
      <c r="B25" s="68" t="str">
        <f>HYPERLINK("#"&amp;"'R11-R14,R21-R23'!D2:U2","R13")</f>
        <v>R13</v>
      </c>
      <c r="C25" s="65" t="s">
        <v>93</v>
      </c>
      <c r="D25" s="65" t="s">
        <v>68</v>
      </c>
      <c r="E25" s="69" t="s">
        <v>69</v>
      </c>
    </row>
    <row r="26" spans="2:5" ht="15" customHeight="1">
      <c r="B26" s="235" t="str">
        <f>HYPERLINK("#"&amp;"'R11-R14,R21-R23'!D2:U2","R14")</f>
        <v>R14</v>
      </c>
      <c r="C26" s="66" t="s">
        <v>94</v>
      </c>
      <c r="D26" s="66"/>
      <c r="E26" s="71"/>
    </row>
    <row r="27" spans="2:5" ht="15" customHeight="1">
      <c r="B27" s="236"/>
      <c r="C27" s="66" t="s">
        <v>87</v>
      </c>
      <c r="D27" s="66" t="s">
        <v>68</v>
      </c>
      <c r="E27" s="71" t="s">
        <v>69</v>
      </c>
    </row>
    <row r="28" spans="2:5" ht="15" customHeight="1">
      <c r="B28" s="236"/>
      <c r="C28" s="66" t="s">
        <v>95</v>
      </c>
      <c r="D28" s="66" t="s">
        <v>89</v>
      </c>
      <c r="E28" s="71" t="s">
        <v>69</v>
      </c>
    </row>
    <row r="29" spans="2:5" ht="15" customHeight="1" thickBot="1">
      <c r="B29" s="237"/>
      <c r="C29" s="81" t="s">
        <v>96</v>
      </c>
      <c r="D29" s="81" t="s">
        <v>97</v>
      </c>
      <c r="E29" s="82" t="s">
        <v>69</v>
      </c>
    </row>
    <row r="30" spans="2:5" ht="15" customHeight="1" thickBot="1">
      <c r="B30" s="243" t="s">
        <v>98</v>
      </c>
      <c r="C30" s="244"/>
      <c r="D30" s="244"/>
      <c r="E30" s="245"/>
    </row>
    <row r="31" spans="2:5" ht="45" customHeight="1">
      <c r="B31" s="246" t="s">
        <v>99</v>
      </c>
      <c r="C31" s="247"/>
      <c r="D31" s="247"/>
      <c r="E31" s="248"/>
    </row>
    <row r="32" spans="2:5" ht="15" customHeight="1">
      <c r="B32" s="73" t="str">
        <f>HYPERLINK("#"&amp;"'R15-R20'!D2","R15")</f>
        <v>R15</v>
      </c>
      <c r="C32" s="65" t="s">
        <v>100</v>
      </c>
      <c r="D32" s="65" t="s">
        <v>68</v>
      </c>
      <c r="E32" s="69" t="s">
        <v>101</v>
      </c>
    </row>
    <row r="33" spans="2:5" ht="15" customHeight="1">
      <c r="B33" s="72" t="str">
        <f>HYPERLINK("#"&amp;"'R15-R20'!D2","R16")</f>
        <v>R16</v>
      </c>
      <c r="C33" s="66" t="s">
        <v>102</v>
      </c>
      <c r="D33" s="66" t="s">
        <v>68</v>
      </c>
      <c r="E33" s="71" t="s">
        <v>103</v>
      </c>
    </row>
    <row r="34" spans="2:5" ht="15" customHeight="1">
      <c r="B34" s="73" t="str">
        <f>HYPERLINK("#"&amp;"'R15-R20'!D2","R17")</f>
        <v>R17</v>
      </c>
      <c r="C34" s="65" t="s">
        <v>104</v>
      </c>
      <c r="D34" s="65" t="s">
        <v>68</v>
      </c>
      <c r="E34" s="69" t="s">
        <v>69</v>
      </c>
    </row>
    <row r="35" spans="2:5" ht="15" customHeight="1">
      <c r="B35" s="72" t="str">
        <f>HYPERLINK("#"&amp;"'R15-R20'!D2","R18")</f>
        <v>R18</v>
      </c>
      <c r="C35" s="66" t="s">
        <v>105</v>
      </c>
      <c r="D35" s="66" t="s">
        <v>68</v>
      </c>
      <c r="E35" s="71" t="s">
        <v>69</v>
      </c>
    </row>
    <row r="36" spans="2:5" s="60" customFormat="1" ht="15" customHeight="1">
      <c r="B36" s="238" t="str">
        <f>HYPERLINK("#"&amp;"'R15-R20'!D2","R19")</f>
        <v>R19</v>
      </c>
      <c r="C36" s="65" t="s">
        <v>106</v>
      </c>
      <c r="D36" s="65" t="s">
        <v>107</v>
      </c>
      <c r="E36" s="69"/>
    </row>
    <row r="37" spans="2:5" s="60" customFormat="1" ht="15" customHeight="1">
      <c r="B37" s="239"/>
      <c r="C37" s="65" t="s">
        <v>108</v>
      </c>
      <c r="D37" s="65" t="s">
        <v>68</v>
      </c>
      <c r="E37" s="69" t="s">
        <v>69</v>
      </c>
    </row>
    <row r="38" spans="2:5" s="60" customFormat="1" ht="15" customHeight="1">
      <c r="B38" s="240"/>
      <c r="C38" s="65" t="s">
        <v>88</v>
      </c>
      <c r="D38" s="65" t="s">
        <v>109</v>
      </c>
      <c r="E38" s="69" t="s">
        <v>69</v>
      </c>
    </row>
    <row r="39" spans="2:5" ht="15" customHeight="1">
      <c r="B39" s="241" t="str">
        <f>HYPERLINK("#"&amp;"'R15-R20'!D2","R20")</f>
        <v>R20</v>
      </c>
      <c r="C39" s="66" t="s">
        <v>110</v>
      </c>
      <c r="D39" s="66" t="s">
        <v>107</v>
      </c>
      <c r="E39" s="71"/>
    </row>
    <row r="40" spans="2:5" ht="15" customHeight="1">
      <c r="B40" s="242"/>
      <c r="C40" s="66" t="s">
        <v>108</v>
      </c>
      <c r="D40" s="66" t="s">
        <v>68</v>
      </c>
      <c r="E40" s="71" t="s">
        <v>69</v>
      </c>
    </row>
    <row r="41" spans="2:5" ht="15" customHeight="1" thickBot="1">
      <c r="B41" s="242"/>
      <c r="C41" s="81" t="s">
        <v>88</v>
      </c>
      <c r="D41" s="81" t="s">
        <v>111</v>
      </c>
      <c r="E41" s="82" t="s">
        <v>69</v>
      </c>
    </row>
    <row r="42" spans="2:5" ht="15" customHeight="1" thickBot="1">
      <c r="B42" s="243" t="s">
        <v>112</v>
      </c>
      <c r="C42" s="244"/>
      <c r="D42" s="244"/>
      <c r="E42" s="245"/>
    </row>
    <row r="43" spans="2:5" ht="30" customHeight="1">
      <c r="B43" s="246" t="s">
        <v>113</v>
      </c>
      <c r="C43" s="247"/>
      <c r="D43" s="247"/>
      <c r="E43" s="248"/>
    </row>
    <row r="44" spans="2:5" ht="30" customHeight="1">
      <c r="B44" s="263" t="s">
        <v>114</v>
      </c>
      <c r="C44" s="264"/>
      <c r="D44" s="264"/>
      <c r="E44" s="265"/>
    </row>
    <row r="45" spans="2:5" ht="15" customHeight="1">
      <c r="B45" s="260" t="s">
        <v>115</v>
      </c>
      <c r="C45" s="261"/>
      <c r="D45" s="261"/>
      <c r="E45" s="262"/>
    </row>
    <row r="46" spans="2:5" s="60" customFormat="1" ht="15" customHeight="1">
      <c r="B46" s="238" t="str">
        <f>HYPERLINK("#"&amp;"'R11-R14,R21-R23'!D2:U2","R21")</f>
        <v>R21</v>
      </c>
      <c r="C46" s="65" t="s">
        <v>116</v>
      </c>
      <c r="D46" s="65" t="s">
        <v>107</v>
      </c>
      <c r="E46" s="69"/>
    </row>
    <row r="47" spans="2:5" s="60" customFormat="1" ht="15" customHeight="1">
      <c r="B47" s="239"/>
      <c r="C47" s="65" t="s">
        <v>117</v>
      </c>
      <c r="D47" s="65" t="s">
        <v>118</v>
      </c>
      <c r="E47" s="69" t="s">
        <v>69</v>
      </c>
    </row>
    <row r="48" spans="2:5" s="60" customFormat="1" ht="15" customHeight="1">
      <c r="B48" s="240"/>
      <c r="C48" s="65" t="s">
        <v>119</v>
      </c>
      <c r="D48" s="65" t="s">
        <v>120</v>
      </c>
      <c r="E48" s="69" t="s">
        <v>69</v>
      </c>
    </row>
    <row r="49" spans="2:5" ht="15" customHeight="1">
      <c r="B49" s="260" t="s">
        <v>121</v>
      </c>
      <c r="C49" s="261"/>
      <c r="D49" s="261"/>
      <c r="E49" s="262"/>
    </row>
    <row r="50" spans="2:5" ht="15" customHeight="1">
      <c r="B50" s="241" t="str">
        <f>HYPERLINK("#"&amp;"'R11-R14,R21-R23'!D2:U2","R22")</f>
        <v>R22</v>
      </c>
      <c r="C50" s="66" t="s">
        <v>116</v>
      </c>
      <c r="D50" s="66" t="s">
        <v>107</v>
      </c>
      <c r="E50" s="71"/>
    </row>
    <row r="51" spans="2:5" ht="15" customHeight="1">
      <c r="B51" s="242"/>
      <c r="C51" s="66" t="s">
        <v>122</v>
      </c>
      <c r="D51" s="66" t="s">
        <v>123</v>
      </c>
      <c r="E51" s="71" t="s">
        <v>69</v>
      </c>
    </row>
    <row r="52" spans="2:5" ht="15" customHeight="1">
      <c r="B52" s="242"/>
      <c r="C52" s="66" t="s">
        <v>124</v>
      </c>
      <c r="D52" s="66" t="s">
        <v>123</v>
      </c>
      <c r="E52" s="71" t="s">
        <v>69</v>
      </c>
    </row>
    <row r="53" spans="2:5" ht="15" customHeight="1" thickBot="1">
      <c r="B53" s="242"/>
      <c r="C53" s="81" t="s">
        <v>119</v>
      </c>
      <c r="D53" s="81" t="s">
        <v>125</v>
      </c>
      <c r="E53" s="82" t="s">
        <v>69</v>
      </c>
    </row>
    <row r="54" spans="2:5" ht="15" customHeight="1" thickBot="1">
      <c r="B54" s="243" t="s">
        <v>126</v>
      </c>
      <c r="C54" s="244"/>
      <c r="D54" s="244"/>
      <c r="E54" s="245"/>
    </row>
    <row r="55" spans="2:5" ht="15" customHeight="1">
      <c r="B55" s="246" t="s">
        <v>127</v>
      </c>
      <c r="C55" s="247"/>
      <c r="D55" s="247"/>
      <c r="E55" s="248"/>
    </row>
    <row r="56" spans="2:5" ht="15" customHeight="1">
      <c r="B56" s="235" t="str">
        <f>HYPERLINK("#"&amp;"'R11-R14,R21-R23'!D2:U2","R23")</f>
        <v>R23</v>
      </c>
      <c r="C56" s="250" t="s">
        <v>128</v>
      </c>
      <c r="D56" s="66" t="s">
        <v>129</v>
      </c>
      <c r="E56" s="252" t="s">
        <v>69</v>
      </c>
    </row>
    <row r="57" spans="2:5" ht="15" customHeight="1" thickBot="1">
      <c r="B57" s="249"/>
      <c r="C57" s="251"/>
      <c r="D57" s="76" t="s">
        <v>92</v>
      </c>
      <c r="E57" s="253"/>
    </row>
  </sheetData>
  <sheetProtection algorithmName="SHA-512" hashValue="yR+kXk6BejtW4D+J6Gc1Gi3STAmqWPdgFNnuDnSKR4F1XqAtDkIETX169Q8se1mbDeSXVkgg0kvntnmMjMDmig==" saltValue="xXXzfcd3tYvSVrcjRCs2lw==" spinCount="100000" sheet="1" objects="1" scenarios="1"/>
  <mergeCells count="26">
    <mergeCell ref="B16:E16"/>
    <mergeCell ref="B17:E17"/>
    <mergeCell ref="B18:E18"/>
    <mergeCell ref="B1:E1"/>
    <mergeCell ref="B49:E49"/>
    <mergeCell ref="B30:E30"/>
    <mergeCell ref="B31:E31"/>
    <mergeCell ref="B42:E42"/>
    <mergeCell ref="B43:E43"/>
    <mergeCell ref="B44:E44"/>
    <mergeCell ref="B45:E45"/>
    <mergeCell ref="B3:E3"/>
    <mergeCell ref="B10:E10"/>
    <mergeCell ref="B11:E11"/>
    <mergeCell ref="B19:B21"/>
    <mergeCell ref="B22:B24"/>
    <mergeCell ref="B54:E54"/>
    <mergeCell ref="B55:E55"/>
    <mergeCell ref="B56:B57"/>
    <mergeCell ref="C56:C57"/>
    <mergeCell ref="E56:E57"/>
    <mergeCell ref="B26:B29"/>
    <mergeCell ref="B36:B38"/>
    <mergeCell ref="B39:B41"/>
    <mergeCell ref="B46:B48"/>
    <mergeCell ref="B50:B53"/>
  </mergeCells>
  <hyperlinks>
    <hyperlink ref="B1:E1" r:id="rId1" display="ASH GUIDELINES RECOMMENDATIONS: R1-R23" xr:uid="{9F88BF5B-C06A-4FFD-BA51-36F90064D013}"/>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B438-5CD5-4435-9A11-3C83C38C8A2D}">
  <dimension ref="A1:Y101"/>
  <sheetViews>
    <sheetView tabSelected="1" zoomScaleNormal="100" workbookViewId="0">
      <selection activeCell="G3" sqref="G3:H3"/>
    </sheetView>
  </sheetViews>
  <sheetFormatPr defaultRowHeight="15"/>
  <cols>
    <col min="1" max="1" width="2.85546875" style="1" customWidth="1"/>
    <col min="2" max="2" width="7" customWidth="1"/>
    <col min="3" max="3" width="10.28515625" customWidth="1"/>
    <col min="4" max="4" width="6.85546875" customWidth="1"/>
    <col min="6" max="6" width="11" style="2" customWidth="1"/>
    <col min="7" max="7" width="8.5703125" customWidth="1"/>
    <col min="8" max="8" width="9.140625" customWidth="1"/>
    <col min="9" max="9" width="7.42578125" customWidth="1"/>
    <col min="10" max="10" width="12.5703125" customWidth="1"/>
    <col min="11" max="11" width="12" bestFit="1" customWidth="1"/>
    <col min="13" max="13" width="6.42578125" customWidth="1"/>
    <col min="14" max="14" width="8" style="4" customWidth="1"/>
    <col min="15" max="15" width="9.28515625" style="4" customWidth="1"/>
    <col min="16" max="17" width="9" style="4"/>
    <col min="22" max="22" width="2.5703125" style="1" customWidth="1"/>
  </cols>
  <sheetData>
    <row r="1" spans="1:22" s="8" customFormat="1" ht="22.5" customHeight="1" thickBot="1">
      <c r="A1" s="1"/>
      <c r="B1" s="277" t="str">
        <f>"CASE "&amp;B3&amp;": "&amp;VLOOKUP(B3,Rec_Table,5,FALSE)</f>
        <v>CASE R2: Patients with symptomatic VTE </v>
      </c>
      <c r="C1" s="278"/>
      <c r="D1" s="278"/>
      <c r="E1" s="278"/>
      <c r="F1" s="278"/>
      <c r="G1" s="278"/>
      <c r="H1" s="278"/>
      <c r="I1" s="278"/>
      <c r="J1" s="278"/>
      <c r="K1" s="278"/>
      <c r="L1" s="278"/>
      <c r="M1" s="278"/>
      <c r="N1" s="278"/>
      <c r="O1" s="278"/>
      <c r="P1" s="278"/>
      <c r="Q1" s="278"/>
      <c r="R1" s="278"/>
      <c r="S1" s="278"/>
      <c r="T1" s="278"/>
      <c r="U1" s="279"/>
      <c r="V1" s="1"/>
    </row>
    <row r="2" spans="1:22" s="8" customFormat="1" ht="15" customHeight="1" thickBot="1">
      <c r="A2" s="1"/>
      <c r="C2" s="13" t="s">
        <v>130</v>
      </c>
      <c r="D2" s="280" t="s">
        <v>131</v>
      </c>
      <c r="E2" s="280"/>
      <c r="F2" s="280"/>
      <c r="G2" s="280"/>
      <c r="H2" s="280"/>
      <c r="I2" s="280"/>
      <c r="J2" s="280"/>
      <c r="K2" s="280"/>
      <c r="L2" s="280"/>
      <c r="M2" s="280"/>
      <c r="N2" s="280"/>
      <c r="O2" s="280"/>
      <c r="P2" s="280"/>
      <c r="Q2" s="280"/>
      <c r="R2" s="280"/>
      <c r="S2" s="280"/>
      <c r="T2" s="280"/>
      <c r="U2" s="280"/>
      <c r="V2" s="1"/>
    </row>
    <row r="3" spans="1:22" s="8" customFormat="1" ht="15" customHeight="1" thickBot="1">
      <c r="A3" s="1"/>
      <c r="B3" s="28" t="str">
        <f>LEFT(D2,SEARCH(":",D2)-1)</f>
        <v>R2</v>
      </c>
      <c r="C3" s="284" t="s">
        <v>132</v>
      </c>
      <c r="D3" s="285"/>
      <c r="E3" s="285"/>
      <c r="F3" s="285"/>
      <c r="G3" s="286" t="s">
        <v>133</v>
      </c>
      <c r="H3" s="286"/>
      <c r="I3" s="86" t="str">
        <f>" risk of major bleeding is "&amp;IF(G3=K26,K27,L27)&amp;" ("&amp;IF(G3=K26,ROUND(100*K27,2),ROUND(100*L27,2))&amp;"%) and the risk for VTE for a patient not on treatment is "&amp;F28&amp;" ("&amp;ROUND(100*F28,2)&amp;"%)."</f>
        <v xml:space="preserve"> risk of major bleeding is 0.015 (1.5%) and the risk for VTE for a patient not on treatment is 0.01 (1%).</v>
      </c>
      <c r="J3" s="86"/>
      <c r="K3" s="86"/>
      <c r="L3" s="86"/>
      <c r="M3" s="86"/>
      <c r="N3" s="87"/>
      <c r="O3" s="87"/>
      <c r="P3" s="87"/>
      <c r="Q3" s="88"/>
      <c r="R3" s="89"/>
      <c r="S3" s="89"/>
      <c r="T3" s="90"/>
      <c r="V3" s="1"/>
    </row>
    <row r="4" spans="1:22" s="8" customFormat="1" ht="6" customHeight="1" thickBot="1">
      <c r="A4" s="1"/>
      <c r="B4" s="13"/>
      <c r="C4" s="29"/>
      <c r="D4" s="29"/>
      <c r="E4" s="29"/>
      <c r="F4" s="29"/>
      <c r="G4" s="14"/>
      <c r="H4" s="14"/>
      <c r="I4" s="13"/>
      <c r="J4" s="13"/>
      <c r="K4" s="13"/>
      <c r="L4" s="13"/>
      <c r="M4" s="13"/>
      <c r="N4" s="12"/>
      <c r="O4" s="12"/>
      <c r="P4" s="12"/>
      <c r="Q4" s="10"/>
      <c r="V4" s="1"/>
    </row>
    <row r="5" spans="1:22" s="8" customFormat="1" ht="15" customHeight="1">
      <c r="A5" s="1"/>
      <c r="B5" s="30" t="s">
        <v>134</v>
      </c>
      <c r="C5" s="31" t="str">
        <f>"When not testing "&amp;F27&amp;" patients for thrombophilia and NOT treating any of them,"</f>
        <v>When not testing 1000 patients for thrombophilia and NOT treating any of them,</v>
      </c>
      <c r="D5" s="32"/>
      <c r="E5" s="32"/>
      <c r="F5" s="33"/>
      <c r="G5" s="31"/>
      <c r="H5" s="31"/>
      <c r="I5" s="31"/>
      <c r="J5" s="31"/>
      <c r="K5" s="31" t="str">
        <f>ROUND(Q34,VLOOKUP(B3,INPUT_Table,9,FALSE))&amp;" VTE recurrences and "</f>
        <v xml:space="preserve">10 VTE recurrences and </v>
      </c>
      <c r="L5" s="31"/>
      <c r="M5" s="31"/>
      <c r="N5" s="45" t="str">
        <f>IF(G3=K26,ROUND(R34,VLOOKUP(B3,INPUT_Table,9,FALSE)),ROUND(S34,VLOOKUP(B3,INPUT_Table,9,FALSE)))&amp;" major bleedings will occur per year."</f>
        <v>15 major bleedings will occur per year.</v>
      </c>
      <c r="O5" s="25"/>
      <c r="P5" s="25"/>
      <c r="Q5" s="34"/>
      <c r="R5" s="32"/>
      <c r="S5" s="32"/>
      <c r="T5" s="32"/>
      <c r="U5" s="35"/>
      <c r="V5" s="1"/>
    </row>
    <row r="6" spans="1:22" s="8" customFormat="1" ht="15" customHeight="1">
      <c r="A6" s="1"/>
      <c r="B6" s="36" t="s">
        <v>135</v>
      </c>
      <c r="C6" s="13" t="str">
        <f>"When testing "&amp;F27&amp;" patients and only treating the "&amp;G31&amp;" positives,  "</f>
        <v xml:space="preserve">When testing 1000 patients and only treating the 380 positives,  </v>
      </c>
      <c r="F6" s="14"/>
      <c r="G6" s="13"/>
      <c r="H6" s="13"/>
      <c r="I6" s="13"/>
      <c r="J6" s="13"/>
      <c r="K6" s="13" t="str">
        <f>ROUND(Q35,VLOOKUP(B3,INPUT_Table,9,FALSE))&amp;" VTE recurrences and "</f>
        <v xml:space="preserve">6 VTE recurrences and </v>
      </c>
      <c r="L6" s="13"/>
      <c r="M6" s="13"/>
      <c r="N6" s="46" t="str">
        <f>IF(G3=K26,ROUND(R35,VLOOKUP(B3,INPUT_Table,9,FALSE)),ROUND(S35,VLOOKUP(B3,INPUT_Table,9,FALSE)))&amp;" major bleedings  will occur per year."</f>
        <v>22 major bleedings  will occur per year.</v>
      </c>
      <c r="O6" s="12"/>
      <c r="P6" s="12"/>
      <c r="Q6" s="10"/>
      <c r="U6" s="37"/>
      <c r="V6" s="1"/>
    </row>
    <row r="7" spans="1:22" s="8" customFormat="1" ht="15" customHeight="1" thickBot="1">
      <c r="A7" s="1"/>
      <c r="B7" s="38" t="s">
        <v>136</v>
      </c>
      <c r="C7" s="39" t="str">
        <f>"When not testing "&amp;F27&amp;" patients for thrombophilia and treating all of them,  "</f>
        <v xml:space="preserve">When not testing 1000 patients for thrombophilia and treating all of them,  </v>
      </c>
      <c r="D7" s="40"/>
      <c r="E7" s="40"/>
      <c r="F7" s="41"/>
      <c r="G7" s="39"/>
      <c r="H7" s="39"/>
      <c r="I7" s="39"/>
      <c r="J7" s="39"/>
      <c r="K7" s="39" t="str">
        <f>ROUND(Q36,VLOOKUP(B3,INPUT_Table,9,FALSE))&amp;" VTE recurrences  and "</f>
        <v xml:space="preserve">2 VTE recurrences  and </v>
      </c>
      <c r="L7" s="39"/>
      <c r="M7" s="39"/>
      <c r="N7" s="47" t="str">
        <f>IF(G3=K26,ROUND(R36,VLOOKUP(B3,INPUT_Table,9,FALSE)),ROUND(S36,VLOOKUP(B3,INPUT_Table,9,FALSE)))&amp;" major bleedings will occur per year."</f>
        <v>33 major bleedings will occur per year.</v>
      </c>
      <c r="O7" s="26"/>
      <c r="P7" s="26"/>
      <c r="Q7" s="42"/>
      <c r="R7" s="40"/>
      <c r="S7" s="40"/>
      <c r="T7" s="40"/>
      <c r="U7" s="43"/>
      <c r="V7" s="1"/>
    </row>
    <row r="8" spans="1:22" s="8" customFormat="1" ht="21" customHeight="1">
      <c r="A8" s="1"/>
      <c r="B8" s="13" t="s">
        <v>137</v>
      </c>
      <c r="C8" s="13"/>
      <c r="F8" s="14"/>
      <c r="G8" s="13"/>
      <c r="H8" s="13"/>
      <c r="I8" s="13"/>
      <c r="J8" s="13"/>
      <c r="K8" s="13"/>
      <c r="L8" s="13"/>
      <c r="M8" s="13"/>
      <c r="N8" s="12"/>
      <c r="O8" s="12"/>
      <c r="P8" s="12"/>
      <c r="Q8" s="10"/>
      <c r="V8" s="1"/>
    </row>
    <row r="9" spans="1:22" s="8" customFormat="1" ht="15.6" customHeight="1">
      <c r="A9" s="1"/>
      <c r="B9" s="13"/>
      <c r="C9" s="281" t="s">
        <v>138</v>
      </c>
      <c r="D9" s="281"/>
      <c r="E9" s="281"/>
      <c r="F9" s="282"/>
      <c r="G9" s="54" t="s">
        <v>139</v>
      </c>
      <c r="H9" s="127">
        <v>1</v>
      </c>
      <c r="I9" s="13"/>
      <c r="J9" s="13"/>
      <c r="K9" s="13" t="str">
        <f>"Acceptable regret (# of cases per "&amp;F27&amp;")"</f>
        <v>Acceptable regret (# of cases per 1000)</v>
      </c>
      <c r="L9" s="13"/>
      <c r="M9" s="13"/>
      <c r="N9" s="12"/>
      <c r="O9" s="12" t="s">
        <v>140</v>
      </c>
      <c r="P9" s="127">
        <v>5</v>
      </c>
      <c r="Q9" s="10"/>
      <c r="V9" s="1"/>
    </row>
    <row r="10" spans="1:22" s="8" customFormat="1" ht="15" customHeight="1">
      <c r="A10" s="1"/>
      <c r="B10" s="29" t="s">
        <v>141</v>
      </c>
      <c r="C10" s="13" t="str">
        <f>"If the risk for VTE is below the testing threshold ("&amp;IF(G3=K26,ROUND(100*N31,2),ROUND(100*O31,2))&amp;"%), the best strategy is to not to test and not to treat."</f>
        <v>If the risk for VTE is below the testing threshold (1.56%), the best strategy is to not to test and not to treat.</v>
      </c>
      <c r="F10" s="14"/>
      <c r="G10" s="13"/>
      <c r="H10" s="13"/>
      <c r="I10" s="13"/>
      <c r="J10" s="13"/>
      <c r="K10" s="13"/>
      <c r="L10" s="13"/>
      <c r="M10" s="13"/>
      <c r="N10" s="12"/>
      <c r="O10" s="12"/>
      <c r="P10" s="12"/>
      <c r="Q10" s="10"/>
      <c r="V10" s="1"/>
    </row>
    <row r="11" spans="1:22" s="8" customFormat="1" ht="15" customHeight="1">
      <c r="A11" s="1"/>
      <c r="B11" s="29" t="s">
        <v>142</v>
      </c>
      <c r="C11" s="13" t="str">
        <f>"If the risk for VTE is between the testing threshold ("&amp;IF(G3=K26,ROUND(100*N31,2),ROUND(100*O31,2))&amp;"%) and the treatment threshold ("&amp;IF(G3=K26,ROUND(100*R31,2),ROUND(100*S31,2))&amp;"%), the best strategy  is to test and treat if the test is positive."</f>
        <v>If the risk for VTE is between the testing threshold (1.56%) and the treatment threshold (2.57%), the best strategy  is to test and treat if the test is positive.</v>
      </c>
      <c r="E11" s="13"/>
      <c r="F11" s="14"/>
      <c r="G11" s="13"/>
      <c r="H11" s="13"/>
      <c r="I11" s="13"/>
      <c r="J11" s="13"/>
      <c r="K11" s="13"/>
      <c r="L11" s="13"/>
      <c r="M11" s="13"/>
      <c r="N11" s="12"/>
      <c r="O11" s="12"/>
      <c r="P11" s="12"/>
      <c r="Q11" s="10"/>
      <c r="V11" s="1"/>
    </row>
    <row r="12" spans="1:22" s="8" customFormat="1" ht="15" customHeight="1" thickBot="1">
      <c r="A12" s="1"/>
      <c r="B12" s="29" t="s">
        <v>143</v>
      </c>
      <c r="C12" s="13" t="str">
        <f>"If the risk for VTE is above the treatment threshold ("&amp;IF(G3=K26,ROUND(100*R31,2),ROUND(100*S31,2))&amp;"%), the best strategy is to not to test and to treat."</f>
        <v>If the risk for VTE is above the treatment threshold (2.57%), the best strategy is to not to test and to treat.</v>
      </c>
      <c r="E12" s="13"/>
      <c r="F12" s="14"/>
      <c r="G12" s="13"/>
      <c r="H12" s="13"/>
      <c r="I12" s="13"/>
      <c r="J12" s="13"/>
      <c r="K12" s="13"/>
      <c r="L12" s="13"/>
      <c r="M12" s="13"/>
      <c r="N12" s="12"/>
      <c r="O12" s="12"/>
      <c r="P12" s="12"/>
      <c r="Q12" s="10"/>
      <c r="V12" s="1"/>
    </row>
    <row r="13" spans="1:22" s="9" customFormat="1" ht="15" customHeight="1" thickBot="1">
      <c r="A13" s="57"/>
      <c r="B13" s="44" t="s">
        <v>144</v>
      </c>
      <c r="C13" s="29"/>
      <c r="D13" s="13"/>
      <c r="E13" s="13"/>
      <c r="F13" s="13"/>
      <c r="G13" s="13"/>
      <c r="H13" s="13"/>
      <c r="I13" s="13"/>
      <c r="J13" s="13"/>
      <c r="K13" s="13"/>
      <c r="L13" s="13"/>
      <c r="M13" s="13"/>
      <c r="N13" s="13"/>
      <c r="O13" s="13"/>
      <c r="P13" s="298" t="str">
        <f>IF(IF(F28&lt;N27,"NoRx",IF(F28&gt;R27,"Rx","Test"))=VLOOKUP(B3,Rec_Table,4,FALSE),"Decision theory (EUT) agrees with ASH thrombophilia guidelines.","Decision theory (EUT) disagrees with ASH thrombophilia guidelines!")&amp;" According to acceptable regret theory the acceptable strateg"&amp;IF(W49&gt;1,"ies are: ","y is: ")&amp;IF(S50,S51,"")&amp;" "&amp;IF(T50,T51,"")&amp;" "&amp;IF(U50,U51,"")&amp;"."</f>
        <v>Decision theory (EUT) agrees with ASH thrombophilia guidelines. According to acceptable regret theory the acceptable strategies are: NoRx Test Rx.</v>
      </c>
      <c r="Q13" s="299"/>
      <c r="R13" s="299"/>
      <c r="S13" s="299"/>
      <c r="T13" s="299"/>
      <c r="U13" s="300"/>
      <c r="V13" s="57"/>
    </row>
    <row r="14" spans="1:22" s="9" customFormat="1" ht="15" customHeight="1">
      <c r="A14" s="57"/>
      <c r="B14" s="13"/>
      <c r="C14" s="288" t="str">
        <f>"Since the overall risk for VTE recurrence ("&amp;ROUND(100*F28,2)&amp;"%) is "&amp;IF(F28&lt;N27,"less than testing threshold, the best strategy is to not to test and recommend discontinuing  treatment.",IF(F28&gt;R27,"above the treatment threshold, the best strategy is to not to test and recommend treatment to all patients.","between the testing and treatment threshold, the best strategy is to test and treat if the test is positive."))</f>
        <v>Since the overall risk for VTE recurrence (1%) is less than testing threshold, the best strategy is to not to test and recommend discontinuing  treatment.</v>
      </c>
      <c r="D14" s="289"/>
      <c r="E14" s="289"/>
      <c r="F14" s="289"/>
      <c r="G14" s="289"/>
      <c r="H14" s="289"/>
      <c r="I14" s="289"/>
      <c r="J14" s="289"/>
      <c r="K14" s="289"/>
      <c r="L14" s="289"/>
      <c r="M14" s="289"/>
      <c r="N14" s="290"/>
      <c r="O14" s="13"/>
      <c r="P14" s="301"/>
      <c r="Q14" s="302"/>
      <c r="R14" s="302"/>
      <c r="S14" s="302"/>
      <c r="T14" s="302"/>
      <c r="U14" s="303"/>
      <c r="V14" s="57"/>
    </row>
    <row r="15" spans="1:22" s="9" customFormat="1" ht="15" customHeight="1" thickBot="1">
      <c r="A15" s="57"/>
      <c r="B15" s="13"/>
      <c r="C15" s="291"/>
      <c r="D15" s="292"/>
      <c r="E15" s="292"/>
      <c r="F15" s="292"/>
      <c r="G15" s="292"/>
      <c r="H15" s="292"/>
      <c r="I15" s="292"/>
      <c r="J15" s="292"/>
      <c r="K15" s="292"/>
      <c r="L15" s="292"/>
      <c r="M15" s="292"/>
      <c r="N15" s="293"/>
      <c r="O15" s="44"/>
      <c r="P15" s="304"/>
      <c r="Q15" s="305"/>
      <c r="R15" s="305"/>
      <c r="S15" s="305"/>
      <c r="T15" s="305"/>
      <c r="U15" s="306"/>
      <c r="V15" s="57"/>
    </row>
    <row r="16" spans="1:22" s="8" customFormat="1" ht="21" customHeight="1" thickBot="1">
      <c r="A16" s="1"/>
      <c r="B16" s="13" t="s">
        <v>145</v>
      </c>
      <c r="D16" s="13"/>
      <c r="E16" s="13"/>
      <c r="F16" s="14"/>
      <c r="G16" s="13"/>
      <c r="H16" s="13"/>
      <c r="I16" s="13"/>
      <c r="J16" s="13"/>
      <c r="K16" s="13"/>
      <c r="L16" s="13"/>
      <c r="M16" s="13"/>
      <c r="N16" s="12"/>
      <c r="O16" s="12"/>
      <c r="V16" s="1"/>
    </row>
    <row r="17" spans="1:23" s="8" customFormat="1" ht="15.75" customHeight="1">
      <c r="A17" s="1"/>
      <c r="B17" s="13"/>
      <c r="C17" s="288" t="str">
        <f>VLOOKUP(B3,Rec_Table,3,FALSE)</f>
        <v>For patients with VTE provoked by surgery who have completed primary short-term treatment, the ASH guideline panel suggests not to perform thrombophilia testing and stopping anticoagulant treatment in all (conditional recommendation based on very low certainty in the evidence about effects).</v>
      </c>
      <c r="D17" s="289"/>
      <c r="E17" s="289"/>
      <c r="F17" s="289"/>
      <c r="G17" s="289"/>
      <c r="H17" s="289"/>
      <c r="I17" s="289"/>
      <c r="J17" s="289"/>
      <c r="K17" s="289"/>
      <c r="L17" s="289"/>
      <c r="M17" s="289"/>
      <c r="N17" s="289"/>
      <c r="O17" s="289"/>
      <c r="P17" s="289"/>
      <c r="Q17" s="289"/>
      <c r="R17" s="289"/>
      <c r="S17" s="289"/>
      <c r="T17" s="289"/>
      <c r="U17" s="290"/>
      <c r="V17" s="1"/>
    </row>
    <row r="18" spans="1:23" s="8" customFormat="1" ht="15.75" customHeight="1">
      <c r="A18" s="1"/>
      <c r="B18" s="13"/>
      <c r="C18" s="295"/>
      <c r="D18" s="296"/>
      <c r="E18" s="296"/>
      <c r="F18" s="296"/>
      <c r="G18" s="296"/>
      <c r="H18" s="296"/>
      <c r="I18" s="296"/>
      <c r="J18" s="296"/>
      <c r="K18" s="296"/>
      <c r="L18" s="296"/>
      <c r="M18" s="296"/>
      <c r="N18" s="296"/>
      <c r="O18" s="296"/>
      <c r="P18" s="296"/>
      <c r="Q18" s="296"/>
      <c r="R18" s="296"/>
      <c r="S18" s="296"/>
      <c r="T18" s="296"/>
      <c r="U18" s="297"/>
      <c r="V18" s="1"/>
    </row>
    <row r="19" spans="1:23" s="8" customFormat="1" ht="26.25" customHeight="1" thickBot="1">
      <c r="A19" s="1"/>
      <c r="B19" s="13"/>
      <c r="C19" s="291"/>
      <c r="D19" s="292"/>
      <c r="E19" s="292"/>
      <c r="F19" s="292"/>
      <c r="G19" s="292"/>
      <c r="H19" s="292"/>
      <c r="I19" s="292"/>
      <c r="J19" s="292"/>
      <c r="K19" s="292"/>
      <c r="L19" s="292"/>
      <c r="M19" s="292"/>
      <c r="N19" s="292"/>
      <c r="O19" s="292"/>
      <c r="P19" s="292"/>
      <c r="Q19" s="292"/>
      <c r="R19" s="292"/>
      <c r="S19" s="292"/>
      <c r="T19" s="292"/>
      <c r="U19" s="293"/>
      <c r="V19" s="1"/>
    </row>
    <row r="20" spans="1:23" s="8" customFormat="1" ht="5.25" customHeight="1">
      <c r="A20" s="1"/>
      <c r="B20" s="13"/>
      <c r="C20" s="17"/>
      <c r="D20" s="17"/>
      <c r="E20" s="17"/>
      <c r="F20" s="17"/>
      <c r="G20" s="17"/>
      <c r="H20" s="17"/>
      <c r="I20" s="17"/>
      <c r="J20" s="17"/>
      <c r="K20" s="17"/>
      <c r="L20" s="17"/>
      <c r="M20" s="17"/>
      <c r="N20" s="17"/>
      <c r="O20" s="16"/>
      <c r="P20" s="16"/>
      <c r="Q20" s="16"/>
      <c r="R20" s="16"/>
      <c r="S20" s="16"/>
      <c r="V20" s="1"/>
    </row>
    <row r="21" spans="1:23" s="18" customFormat="1">
      <c r="A21" s="58"/>
      <c r="C21" s="19" t="s">
        <v>146</v>
      </c>
      <c r="D21" s="20"/>
      <c r="E21" s="20"/>
      <c r="F21" s="20"/>
      <c r="G21" s="20"/>
      <c r="H21" s="20"/>
      <c r="I21" s="20"/>
      <c r="J21" s="20"/>
      <c r="K21" s="20"/>
      <c r="L21" s="20"/>
      <c r="M21" s="20"/>
      <c r="N21" s="20"/>
      <c r="O21" s="21"/>
      <c r="P21" s="21"/>
      <c r="Q21" s="21"/>
      <c r="R21" s="96" t="s">
        <v>33</v>
      </c>
      <c r="S21" s="21"/>
      <c r="V21" s="58"/>
    </row>
    <row r="22" spans="1:23" s="18" customFormat="1" ht="13.5">
      <c r="A22" s="58"/>
      <c r="C22" s="19" t="s">
        <v>147</v>
      </c>
      <c r="D22" s="20"/>
      <c r="E22" s="20"/>
      <c r="F22" s="20"/>
      <c r="G22" s="283" t="s">
        <v>148</v>
      </c>
      <c r="H22" s="283"/>
      <c r="I22" s="283"/>
      <c r="J22" s="283"/>
      <c r="K22" s="283"/>
      <c r="L22" s="283"/>
      <c r="M22" s="283"/>
      <c r="N22" s="283"/>
      <c r="O22" s="283"/>
      <c r="P22" s="283"/>
      <c r="Q22" s="283"/>
      <c r="R22" s="283"/>
      <c r="S22" s="283"/>
      <c r="T22" s="283"/>
      <c r="U22" s="283"/>
      <c r="V22" s="58"/>
    </row>
    <row r="23" spans="1:23" s="8" customFormat="1" ht="5.25" customHeight="1">
      <c r="A23" s="1"/>
      <c r="C23" s="10"/>
      <c r="D23" s="10"/>
      <c r="E23" s="10"/>
      <c r="F23" s="10"/>
      <c r="G23" s="10"/>
      <c r="H23" s="11"/>
      <c r="I23" s="11"/>
      <c r="J23" s="11"/>
      <c r="K23" s="10"/>
      <c r="L23" s="10"/>
      <c r="M23" s="10"/>
      <c r="N23" s="10"/>
      <c r="O23" s="10"/>
      <c r="P23" s="10"/>
      <c r="Q23" s="10"/>
      <c r="R23" s="10"/>
      <c r="V23" s="1"/>
    </row>
    <row r="24" spans="1:23" s="1" customFormat="1" ht="9" customHeight="1">
      <c r="F24" s="6"/>
      <c r="N24" s="7"/>
      <c r="O24" s="7"/>
      <c r="P24" s="7"/>
      <c r="Q24" s="7"/>
    </row>
    <row r="25" spans="1:23" ht="16.5" customHeight="1">
      <c r="B25" s="98" t="s">
        <v>149</v>
      </c>
      <c r="O25" s="15"/>
      <c r="P25" s="15"/>
      <c r="Q25" s="15"/>
      <c r="R25" s="15"/>
      <c r="S25" s="15"/>
      <c r="T25" s="15"/>
      <c r="U25" s="15"/>
      <c r="V25" s="59"/>
      <c r="W25" s="15"/>
    </row>
    <row r="26" spans="1:23" s="128" customFormat="1" ht="16.5" customHeight="1">
      <c r="B26" s="271" t="s">
        <v>150</v>
      </c>
      <c r="C26" s="271"/>
      <c r="D26" s="271"/>
      <c r="E26" s="271"/>
      <c r="F26" s="271"/>
      <c r="J26" s="130"/>
      <c r="K26" s="130" t="s">
        <v>151</v>
      </c>
      <c r="L26" s="130" t="s">
        <v>133</v>
      </c>
      <c r="M26" s="130" t="s">
        <v>152</v>
      </c>
      <c r="N26" s="272" t="s">
        <v>153</v>
      </c>
      <c r="O26" s="272"/>
      <c r="P26" s="272"/>
      <c r="Q26" s="272"/>
      <c r="R26" s="272"/>
      <c r="S26" s="272"/>
      <c r="T26" s="130"/>
      <c r="U26" s="130"/>
      <c r="V26" s="130"/>
    </row>
    <row r="27" spans="1:23" s="128" customFormat="1" ht="16.5" customHeight="1">
      <c r="B27" s="274" t="s">
        <v>154</v>
      </c>
      <c r="C27" s="274"/>
      <c r="D27" s="274"/>
      <c r="E27" s="274"/>
      <c r="F27" s="129">
        <v>1000</v>
      </c>
      <c r="K27" s="129">
        <f>VLOOKUP(B3,INPUT_Table,6,FALSE)</f>
        <v>5.0000000000000001E-3</v>
      </c>
      <c r="L27" s="129">
        <f>VLOOKUP(B3,INPUT_Table,7,FALSE)</f>
        <v>1.4999999999999999E-2</v>
      </c>
      <c r="M27" s="128">
        <f>IF(G3=K26,K27,L27)</f>
        <v>1.4999999999999999E-2</v>
      </c>
      <c r="N27" s="276">
        <f>IF(G3=K26,N31,O31)</f>
        <v>1.5604171122994651E-2</v>
      </c>
      <c r="O27" s="276"/>
      <c r="P27" s="276">
        <f>IF(G3=K26,P31,Q31)</f>
        <v>2.0647058823529411E-2</v>
      </c>
      <c r="Q27" s="276"/>
      <c r="R27" s="276">
        <f>IF(G3=K26,R31,S31)</f>
        <v>2.5746882352941172E-2</v>
      </c>
      <c r="S27" s="276"/>
    </row>
    <row r="28" spans="1:23" s="128" customFormat="1" ht="16.5" customHeight="1">
      <c r="B28" s="274" t="s">
        <v>155</v>
      </c>
      <c r="C28" s="274"/>
      <c r="D28" s="274"/>
      <c r="E28" s="274"/>
      <c r="F28" s="129">
        <f>VLOOKUP(B3,INPUT_Table,2,FALSE)</f>
        <v>0.01</v>
      </c>
      <c r="J28" s="271" t="s">
        <v>156</v>
      </c>
      <c r="K28" s="271"/>
      <c r="L28" s="271"/>
      <c r="N28" s="272" t="s">
        <v>157</v>
      </c>
      <c r="O28" s="272"/>
      <c r="P28" s="272" t="s">
        <v>158</v>
      </c>
      <c r="Q28" s="272"/>
      <c r="R28" s="272" t="s">
        <v>159</v>
      </c>
      <c r="S28" s="272"/>
    </row>
    <row r="29" spans="1:23" s="128" customFormat="1" ht="16.5" customHeight="1">
      <c r="B29" s="274" t="s">
        <v>160</v>
      </c>
      <c r="C29" s="274"/>
      <c r="D29" s="274"/>
      <c r="E29" s="274"/>
      <c r="F29" s="129">
        <f>VLOOKUP(B3,INPUT_Table,3,FALSE)</f>
        <v>0.38</v>
      </c>
      <c r="G29" s="271" t="s">
        <v>161</v>
      </c>
      <c r="H29" s="271"/>
      <c r="K29" s="128" t="s">
        <v>162</v>
      </c>
      <c r="L29" s="128">
        <f>VLOOKUP(B3,INPUT_Table,8,FALSE)</f>
        <v>2.17</v>
      </c>
      <c r="N29" s="272" t="s">
        <v>163</v>
      </c>
      <c r="O29" s="272"/>
      <c r="P29" s="272" t="s">
        <v>163</v>
      </c>
      <c r="Q29" s="272"/>
      <c r="R29" s="272" t="s">
        <v>163</v>
      </c>
      <c r="S29" s="272"/>
    </row>
    <row r="30" spans="1:23" s="128" customFormat="1" ht="16.5" customHeight="1">
      <c r="B30" s="294" t="s">
        <v>164</v>
      </c>
      <c r="C30" s="294"/>
      <c r="D30" s="294"/>
      <c r="E30" s="294"/>
      <c r="F30" s="130">
        <f>VLOOKUP(B3,INPUT_Table,4,FALSE)</f>
        <v>1.65</v>
      </c>
      <c r="G30" s="130" t="s">
        <v>165</v>
      </c>
      <c r="H30" s="130" t="s">
        <v>166</v>
      </c>
      <c r="J30" s="272" t="s">
        <v>167</v>
      </c>
      <c r="K30" s="272"/>
      <c r="L30" s="272"/>
      <c r="N30" s="130" t="s">
        <v>168</v>
      </c>
      <c r="O30" s="130" t="s">
        <v>169</v>
      </c>
      <c r="P30" s="130" t="s">
        <v>168</v>
      </c>
      <c r="Q30" s="130" t="s">
        <v>169</v>
      </c>
      <c r="R30" s="130" t="s">
        <v>168</v>
      </c>
      <c r="S30" s="130" t="s">
        <v>169</v>
      </c>
    </row>
    <row r="31" spans="1:23" s="128" customFormat="1" ht="16.5" customHeight="1">
      <c r="B31" s="271" t="s">
        <v>154</v>
      </c>
      <c r="C31" s="271"/>
      <c r="D31" s="271"/>
      <c r="E31" s="271"/>
      <c r="F31" s="271"/>
      <c r="G31" s="129">
        <f>F29*F27</f>
        <v>380</v>
      </c>
      <c r="H31" s="129">
        <f>F27-G31</f>
        <v>620</v>
      </c>
      <c r="N31" s="128">
        <f>($F$30*$F$29+(1-$F$29))/$F$30*P31</f>
        <v>5.2013903743315512E-3</v>
      </c>
      <c r="O31" s="128">
        <f>($F$30*$F$29+(1-$F$29))/$F$30*Q31</f>
        <v>1.5604171122994651E-2</v>
      </c>
      <c r="P31" s="153">
        <f>H9*(L29-1)*K27/(1-J34)</f>
        <v>6.8823529411764714E-3</v>
      </c>
      <c r="Q31" s="153">
        <f>H9*(L29-1)*L27/(1-J34)</f>
        <v>2.0647058823529411E-2</v>
      </c>
      <c r="R31" s="128">
        <f>($F$30*$F$29+(1-$F$29))*P31</f>
        <v>8.5822941176470595E-3</v>
      </c>
      <c r="S31" s="128">
        <f>($F$30*$F$29+(1-$F$29))*Q31</f>
        <v>2.5746882352941172E-2</v>
      </c>
    </row>
    <row r="32" spans="1:23" s="128" customFormat="1" ht="16.5" customHeight="1">
      <c r="B32" s="271" t="s">
        <v>170</v>
      </c>
      <c r="C32" s="271"/>
      <c r="D32" s="271"/>
      <c r="E32" s="271"/>
      <c r="F32" s="271"/>
      <c r="G32" s="133">
        <f>H32*F30</f>
        <v>1.3231756214915798E-2</v>
      </c>
      <c r="H32" s="133">
        <f>F28*F27/(G31*F30+H31)</f>
        <v>8.0192461908580592E-3</v>
      </c>
      <c r="N32" s="272" t="s">
        <v>171</v>
      </c>
      <c r="O32" s="272"/>
      <c r="P32" s="272"/>
      <c r="Q32" s="272" t="s">
        <v>172</v>
      </c>
      <c r="R32" s="272" t="s">
        <v>163</v>
      </c>
      <c r="S32" s="272"/>
    </row>
    <row r="33" spans="2:19" s="128" customFormat="1" ht="16.5" customHeight="1">
      <c r="B33" s="274"/>
      <c r="C33" s="274"/>
      <c r="D33" s="274"/>
      <c r="E33" s="274"/>
      <c r="F33" s="129"/>
      <c r="N33" s="272"/>
      <c r="O33" s="272"/>
      <c r="P33" s="272"/>
      <c r="Q33" s="272"/>
      <c r="R33" s="130" t="s">
        <v>168</v>
      </c>
      <c r="S33" s="130" t="s">
        <v>169</v>
      </c>
    </row>
    <row r="34" spans="2:19" s="128" customFormat="1" ht="16.5" customHeight="1">
      <c r="B34" s="274" t="s">
        <v>173</v>
      </c>
      <c r="C34" s="274"/>
      <c r="D34" s="274"/>
      <c r="E34" s="274"/>
      <c r="F34" s="274"/>
      <c r="G34" s="274"/>
      <c r="H34" s="274"/>
      <c r="I34" s="274"/>
      <c r="J34" s="129">
        <f>VLOOKUP(B3,INPUT_Table,5,FALSE)</f>
        <v>0.15</v>
      </c>
      <c r="N34" s="272" t="s">
        <v>174</v>
      </c>
      <c r="O34" s="272"/>
      <c r="P34" s="272"/>
      <c r="Q34" s="128">
        <f>F28*$F$27</f>
        <v>10</v>
      </c>
      <c r="R34" s="130">
        <f>$K$27*$F$27</f>
        <v>5</v>
      </c>
      <c r="S34" s="130">
        <f>$L$27*$F$27</f>
        <v>15</v>
      </c>
    </row>
    <row r="35" spans="2:19" s="128" customFormat="1" ht="16.5" customHeight="1">
      <c r="F35" s="129"/>
      <c r="N35" s="272" t="s">
        <v>175</v>
      </c>
      <c r="O35" s="272"/>
      <c r="P35" s="272"/>
      <c r="Q35" s="128">
        <f>G32*$G$31*$J$34+H32*$H$31</f>
        <v>5.7261427425821969</v>
      </c>
      <c r="R35" s="135">
        <f>$K$27*$H$31+$K$27*$L$29*$G$31</f>
        <v>7.2230000000000008</v>
      </c>
      <c r="S35" s="135">
        <f>$L$27*$H$31+$L$27*$L$29*$G$31</f>
        <v>21.668999999999997</v>
      </c>
    </row>
    <row r="36" spans="2:19" s="128" customFormat="1" ht="16.5" customHeight="1">
      <c r="B36" s="272" t="s">
        <v>176</v>
      </c>
      <c r="C36" s="273" t="s">
        <v>177</v>
      </c>
      <c r="D36" s="275" t="s">
        <v>178</v>
      </c>
      <c r="E36" s="275"/>
      <c r="F36" s="275"/>
      <c r="G36" s="275"/>
      <c r="H36" s="275"/>
      <c r="I36" s="275"/>
      <c r="N36" s="272" t="s">
        <v>179</v>
      </c>
      <c r="O36" s="272"/>
      <c r="P36" s="272"/>
      <c r="Q36" s="128">
        <f>F28*$J$34*$F$27</f>
        <v>1.5</v>
      </c>
      <c r="R36" s="130">
        <f>$K$27*$L$29*$F$27</f>
        <v>10.85</v>
      </c>
      <c r="S36" s="130">
        <f>$L$27*$L$29*$F$27</f>
        <v>32.549999999999997</v>
      </c>
    </row>
    <row r="37" spans="2:19" s="128" customFormat="1" ht="16.5" customHeight="1">
      <c r="B37" s="272"/>
      <c r="C37" s="273"/>
      <c r="D37" s="137"/>
      <c r="F37" s="129"/>
      <c r="N37" s="130"/>
      <c r="O37" s="130"/>
      <c r="P37" s="130"/>
    </row>
    <row r="38" spans="2:19" s="128" customFormat="1" ht="16.5" customHeight="1">
      <c r="B38" s="272"/>
      <c r="C38" s="273"/>
      <c r="F38" s="129"/>
      <c r="G38" s="130" t="s">
        <v>180</v>
      </c>
      <c r="N38" s="130"/>
      <c r="O38" s="130"/>
      <c r="P38" s="130"/>
    </row>
    <row r="39" spans="2:19" s="128" customFormat="1" ht="16.5" customHeight="1">
      <c r="B39" s="272"/>
      <c r="C39" s="273"/>
      <c r="D39" s="128" t="s">
        <v>181</v>
      </c>
      <c r="E39" s="130" t="s">
        <v>182</v>
      </c>
      <c r="F39" s="129" t="s">
        <v>183</v>
      </c>
      <c r="G39" s="130" t="s">
        <v>151</v>
      </c>
      <c r="H39" s="130" t="s">
        <v>133</v>
      </c>
      <c r="I39" s="128" t="s">
        <v>184</v>
      </c>
      <c r="J39" s="130" t="s">
        <v>185</v>
      </c>
      <c r="K39" s="271" t="s">
        <v>186</v>
      </c>
      <c r="L39" s="271"/>
      <c r="M39" s="271"/>
      <c r="N39" s="271"/>
      <c r="O39" s="271"/>
      <c r="P39" s="130"/>
    </row>
    <row r="40" spans="2:19" s="128" customFormat="1" ht="16.5" customHeight="1">
      <c r="B40" s="130" t="s">
        <v>187</v>
      </c>
      <c r="C40" s="130">
        <f>100/1000</f>
        <v>0.1</v>
      </c>
      <c r="D40" s="130">
        <v>0.38</v>
      </c>
      <c r="E40" s="139">
        <v>1.65</v>
      </c>
      <c r="F40" s="129">
        <v>0.15</v>
      </c>
      <c r="G40" s="129">
        <f t="shared" ref="G40:G49" si="0">5/1000</f>
        <v>5.0000000000000001E-3</v>
      </c>
      <c r="H40" s="129">
        <f t="shared" ref="H40:H49" si="1">15/1000</f>
        <v>1.4999999999999999E-2</v>
      </c>
      <c r="I40" s="128">
        <v>2.17</v>
      </c>
      <c r="J40" s="129">
        <v>0</v>
      </c>
      <c r="K40" s="129" t="s">
        <v>187</v>
      </c>
      <c r="L40" s="128" t="s">
        <v>188</v>
      </c>
      <c r="M40" s="142" t="s">
        <v>189</v>
      </c>
      <c r="N40" s="128" t="s">
        <v>190</v>
      </c>
      <c r="O40" s="131" t="s">
        <v>191</v>
      </c>
      <c r="P40" s="132" t="str">
        <f>K40&amp;": "&amp;L40</f>
        <v>R1: Patients with unprovoked symptomatic venous thromboembolism who completed primary short-term treatment.</v>
      </c>
      <c r="Q40" s="130" t="str">
        <f>LEFT(P40,SEARCH(":",P40)-1)</f>
        <v>R1</v>
      </c>
    </row>
    <row r="41" spans="2:19" s="128" customFormat="1" ht="16.5" customHeight="1">
      <c r="B41" s="130" t="s">
        <v>192</v>
      </c>
      <c r="C41" s="130">
        <f>10/1000</f>
        <v>0.01</v>
      </c>
      <c r="D41" s="130">
        <v>0.38</v>
      </c>
      <c r="E41" s="139">
        <v>1.65</v>
      </c>
      <c r="F41" s="129">
        <v>0.15</v>
      </c>
      <c r="G41" s="129">
        <f t="shared" si="0"/>
        <v>5.0000000000000001E-3</v>
      </c>
      <c r="H41" s="129">
        <f t="shared" si="1"/>
        <v>1.4999999999999999E-2</v>
      </c>
      <c r="I41" s="128">
        <v>2.17</v>
      </c>
      <c r="J41" s="129">
        <v>0</v>
      </c>
      <c r="K41" s="129" t="s">
        <v>192</v>
      </c>
      <c r="L41" s="128" t="s">
        <v>193</v>
      </c>
      <c r="M41" s="142" t="s">
        <v>194</v>
      </c>
      <c r="N41" s="128" t="s">
        <v>195</v>
      </c>
      <c r="O41" s="131" t="s">
        <v>191</v>
      </c>
      <c r="P41" s="132" t="str">
        <f t="shared" ref="P41:P48" si="2">K41&amp;": "&amp;L41</f>
        <v>R2: Patients with symptomatic venous thromboembolism provoked by surgery who completed primary short-term treatment.</v>
      </c>
      <c r="Q41" s="130" t="str">
        <f t="shared" ref="Q41:Q49" si="3">LEFT(P41,SEARCH(":",P41)-1)</f>
        <v>R2</v>
      </c>
    </row>
    <row r="42" spans="2:19" s="128" customFormat="1" ht="16.5" customHeight="1">
      <c r="B42" s="130" t="s">
        <v>196</v>
      </c>
      <c r="C42" s="130">
        <f>50/1000</f>
        <v>0.05</v>
      </c>
      <c r="D42" s="130">
        <v>0.38</v>
      </c>
      <c r="E42" s="139">
        <v>1.65</v>
      </c>
      <c r="F42" s="129">
        <v>0.15</v>
      </c>
      <c r="G42" s="129">
        <f t="shared" si="0"/>
        <v>5.0000000000000001E-3</v>
      </c>
      <c r="H42" s="129">
        <f t="shared" si="1"/>
        <v>1.4999999999999999E-2</v>
      </c>
      <c r="I42" s="128">
        <v>2.17</v>
      </c>
      <c r="J42" s="129">
        <v>0</v>
      </c>
      <c r="K42" s="129" t="s">
        <v>196</v>
      </c>
      <c r="L42" s="128" t="s">
        <v>197</v>
      </c>
      <c r="M42" s="156" t="s">
        <v>198</v>
      </c>
      <c r="N42" s="128" t="s">
        <v>175</v>
      </c>
      <c r="O42" s="131" t="s">
        <v>191</v>
      </c>
      <c r="P42" s="132" t="str">
        <f t="shared" si="2"/>
        <v>R3: Patients with symptomatic venous thromboembolism provoked by a non-surgical major transient risk factor who completed primary short-term treatment.</v>
      </c>
      <c r="Q42" s="130" t="str">
        <f t="shared" si="3"/>
        <v>R3</v>
      </c>
    </row>
    <row r="43" spans="2:19" s="128" customFormat="1" ht="16.5" customHeight="1">
      <c r="B43" s="130" t="s">
        <v>199</v>
      </c>
      <c r="C43" s="130">
        <f>50/1000</f>
        <v>0.05</v>
      </c>
      <c r="D43" s="130">
        <v>0.38</v>
      </c>
      <c r="E43" s="139">
        <v>1.65</v>
      </c>
      <c r="F43" s="129">
        <v>0.15</v>
      </c>
      <c r="G43" s="129">
        <f t="shared" si="0"/>
        <v>5.0000000000000001E-3</v>
      </c>
      <c r="H43" s="129">
        <f t="shared" si="1"/>
        <v>1.4999999999999999E-2</v>
      </c>
      <c r="I43" s="128">
        <v>2.17</v>
      </c>
      <c r="J43" s="129">
        <v>0</v>
      </c>
      <c r="K43" s="129" t="s">
        <v>199</v>
      </c>
      <c r="L43" s="128" t="s">
        <v>200</v>
      </c>
      <c r="M43" s="156" t="s">
        <v>201</v>
      </c>
      <c r="N43" s="128" t="s">
        <v>175</v>
      </c>
      <c r="O43" s="131" t="s">
        <v>191</v>
      </c>
      <c r="P43" s="132" t="str">
        <f t="shared" si="2"/>
        <v>R4: Women with VTE provoked by pregnancy or postpartum who completed primary treatment.</v>
      </c>
      <c r="Q43" s="130" t="str">
        <f t="shared" si="3"/>
        <v>R4</v>
      </c>
    </row>
    <row r="44" spans="2:19" s="128" customFormat="1" ht="16.5" customHeight="1">
      <c r="B44" s="130" t="s">
        <v>202</v>
      </c>
      <c r="C44" s="130">
        <f>50/1000</f>
        <v>0.05</v>
      </c>
      <c r="D44" s="130">
        <v>0.38</v>
      </c>
      <c r="E44" s="139">
        <v>1.65</v>
      </c>
      <c r="F44" s="129">
        <v>0.15</v>
      </c>
      <c r="G44" s="129">
        <f t="shared" si="0"/>
        <v>5.0000000000000001E-3</v>
      </c>
      <c r="H44" s="129">
        <f t="shared" si="1"/>
        <v>1.4999999999999999E-2</v>
      </c>
      <c r="I44" s="128">
        <v>2.17</v>
      </c>
      <c r="J44" s="129">
        <v>0</v>
      </c>
      <c r="K44" s="129" t="s">
        <v>202</v>
      </c>
      <c r="L44" s="128" t="s">
        <v>203</v>
      </c>
      <c r="M44" s="156" t="s">
        <v>204</v>
      </c>
      <c r="N44" s="128" t="s">
        <v>175</v>
      </c>
      <c r="O44" s="131" t="s">
        <v>191</v>
      </c>
      <c r="P44" s="132" t="str">
        <f t="shared" si="2"/>
        <v>R5: Women with VTE associated with use of combined oral contraceptives who completed primary short-term treatment.</v>
      </c>
      <c r="Q44" s="130" t="str">
        <f t="shared" si="3"/>
        <v>R5</v>
      </c>
    </row>
    <row r="45" spans="2:19" s="128" customFormat="1" ht="16.5" customHeight="1">
      <c r="B45" s="130" t="s">
        <v>205</v>
      </c>
      <c r="C45" s="130">
        <f>75/1000</f>
        <v>7.4999999999999997E-2</v>
      </c>
      <c r="D45" s="130">
        <v>0.38</v>
      </c>
      <c r="E45" s="139">
        <v>1.65</v>
      </c>
      <c r="F45" s="129">
        <v>0.15</v>
      </c>
      <c r="G45" s="129">
        <f t="shared" si="0"/>
        <v>5.0000000000000001E-3</v>
      </c>
      <c r="H45" s="129">
        <f t="shared" si="1"/>
        <v>1.4999999999999999E-2</v>
      </c>
      <c r="I45" s="128">
        <v>2.17</v>
      </c>
      <c r="J45" s="129">
        <v>0</v>
      </c>
      <c r="K45" s="129" t="s">
        <v>205</v>
      </c>
      <c r="L45" s="128" t="s">
        <v>206</v>
      </c>
      <c r="M45" s="142" t="s">
        <v>207</v>
      </c>
      <c r="N45" s="128" t="s">
        <v>190</v>
      </c>
      <c r="O45" s="131" t="s">
        <v>191</v>
      </c>
      <c r="P45" s="132" t="str">
        <f t="shared" si="2"/>
        <v>R6: Patients with an unspecified type of venous thromboembolism who completed primary short-term treatment.</v>
      </c>
      <c r="Q45" s="130" t="str">
        <f t="shared" si="3"/>
        <v>R6</v>
      </c>
    </row>
    <row r="46" spans="2:19" s="128" customFormat="1" ht="16.5" customHeight="1">
      <c r="B46" s="130" t="s">
        <v>208</v>
      </c>
      <c r="C46" s="129">
        <f>38/1000</f>
        <v>3.7999999999999999E-2</v>
      </c>
      <c r="D46" s="130">
        <v>0.436</v>
      </c>
      <c r="E46" s="139">
        <v>1.65</v>
      </c>
      <c r="F46" s="129">
        <v>0.15</v>
      </c>
      <c r="G46" s="129">
        <f t="shared" si="0"/>
        <v>5.0000000000000001E-3</v>
      </c>
      <c r="H46" s="129">
        <f t="shared" si="1"/>
        <v>1.4999999999999999E-2</v>
      </c>
      <c r="I46" s="128">
        <v>2.17</v>
      </c>
      <c r="J46" s="129">
        <v>0</v>
      </c>
      <c r="K46" s="130" t="s">
        <v>208</v>
      </c>
      <c r="L46" s="128" t="s">
        <v>209</v>
      </c>
      <c r="M46" s="128" t="s">
        <v>210</v>
      </c>
      <c r="N46" s="128" t="s">
        <v>175</v>
      </c>
      <c r="O46" s="157" t="s">
        <v>211</v>
      </c>
      <c r="P46" s="132" t="str">
        <f t="shared" si="2"/>
        <v>R7: Patients with cerebral venous thrombosis planning to discontinue anticoagulation.</v>
      </c>
      <c r="Q46" s="130" t="str">
        <f t="shared" si="3"/>
        <v>R7</v>
      </c>
    </row>
    <row r="47" spans="2:19" s="128" customFormat="1" ht="16.5" customHeight="1">
      <c r="B47" s="130" t="s">
        <v>212</v>
      </c>
      <c r="C47" s="129">
        <f>38/1000</f>
        <v>3.7999999999999999E-2</v>
      </c>
      <c r="D47" s="130">
        <v>0.436</v>
      </c>
      <c r="E47" s="139">
        <v>1.65</v>
      </c>
      <c r="F47" s="129">
        <v>0.15</v>
      </c>
      <c r="G47" s="129">
        <f t="shared" si="0"/>
        <v>5.0000000000000001E-3</v>
      </c>
      <c r="H47" s="129">
        <f t="shared" si="1"/>
        <v>1.4999999999999999E-2</v>
      </c>
      <c r="I47" s="128">
        <v>2.17</v>
      </c>
      <c r="J47" s="129">
        <v>0</v>
      </c>
      <c r="K47" s="130" t="s">
        <v>212</v>
      </c>
      <c r="L47" s="128" t="s">
        <v>213</v>
      </c>
      <c r="M47" s="128" t="s">
        <v>214</v>
      </c>
      <c r="N47" s="128" t="s">
        <v>190</v>
      </c>
      <c r="O47" s="157" t="s">
        <v>211</v>
      </c>
      <c r="P47" s="132" t="str">
        <f t="shared" si="2"/>
        <v>R8: Patients with cerebral venous thrombosis planning to continue anticoagulation indefinitely.</v>
      </c>
      <c r="Q47" s="130" t="str">
        <f t="shared" si="3"/>
        <v>R8</v>
      </c>
    </row>
    <row r="48" spans="2:19" s="128" customFormat="1" ht="16.5" customHeight="1">
      <c r="B48" s="130" t="s">
        <v>215</v>
      </c>
      <c r="C48" s="129">
        <f>50/1000</f>
        <v>0.05</v>
      </c>
      <c r="D48" s="130">
        <v>0.41599999999999998</v>
      </c>
      <c r="E48" s="139">
        <v>1.65</v>
      </c>
      <c r="F48" s="129">
        <v>0.15</v>
      </c>
      <c r="G48" s="129">
        <f t="shared" si="0"/>
        <v>5.0000000000000001E-3</v>
      </c>
      <c r="H48" s="129">
        <f t="shared" si="1"/>
        <v>1.4999999999999999E-2</v>
      </c>
      <c r="I48" s="128">
        <v>2.17</v>
      </c>
      <c r="J48" s="129">
        <v>0</v>
      </c>
      <c r="K48" s="130" t="s">
        <v>215</v>
      </c>
      <c r="L48" s="128" t="s">
        <v>216</v>
      </c>
      <c r="M48" s="128" t="s">
        <v>217</v>
      </c>
      <c r="N48" s="128" t="s">
        <v>175</v>
      </c>
      <c r="O48" s="157" t="s">
        <v>211</v>
      </c>
      <c r="P48" s="132" t="str">
        <f t="shared" si="2"/>
        <v>R9: Patients with splanchnic venous thrombosis without cirrhosis planning to discontinue anticoagulation.</v>
      </c>
      <c r="Q48" s="130" t="str">
        <f t="shared" si="3"/>
        <v>R9</v>
      </c>
    </row>
    <row r="49" spans="2:25" s="128" customFormat="1" ht="16.5" customHeight="1">
      <c r="B49" s="130" t="s">
        <v>218</v>
      </c>
      <c r="C49" s="129">
        <f>50/1000</f>
        <v>0.05</v>
      </c>
      <c r="D49" s="130">
        <v>0.41599999999999998</v>
      </c>
      <c r="E49" s="139">
        <v>1.65</v>
      </c>
      <c r="F49" s="129">
        <v>0.15</v>
      </c>
      <c r="G49" s="129">
        <f t="shared" si="0"/>
        <v>5.0000000000000001E-3</v>
      </c>
      <c r="H49" s="129">
        <f t="shared" si="1"/>
        <v>1.4999999999999999E-2</v>
      </c>
      <c r="I49" s="128">
        <v>2.17</v>
      </c>
      <c r="J49" s="129">
        <v>0</v>
      </c>
      <c r="K49" s="129" t="s">
        <v>218</v>
      </c>
      <c r="L49" s="128" t="s">
        <v>219</v>
      </c>
      <c r="M49" s="128" t="s">
        <v>220</v>
      </c>
      <c r="N49" s="128" t="s">
        <v>190</v>
      </c>
      <c r="O49" s="157" t="s">
        <v>211</v>
      </c>
      <c r="P49" s="132" t="str">
        <f t="shared" ref="P49" si="4">K49&amp;": "&amp;L49</f>
        <v>R10: Patients with splanchnic venous thrombosis without cirrhosis planning to continue anticoagulation indefinitely.</v>
      </c>
      <c r="Q49" s="130" t="str">
        <f t="shared" si="3"/>
        <v>R10</v>
      </c>
      <c r="S49" s="128">
        <f>1*S50</f>
        <v>1</v>
      </c>
      <c r="T49" s="128">
        <f>1*T50</f>
        <v>1</v>
      </c>
      <c r="U49" s="128">
        <f>1*U50</f>
        <v>1</v>
      </c>
      <c r="W49" s="128">
        <f>SUM(S49:U49)</f>
        <v>3</v>
      </c>
    </row>
    <row r="50" spans="2:25" s="128" customFormat="1" ht="16.5" customHeight="1">
      <c r="F50" s="129"/>
      <c r="N50" s="130"/>
      <c r="O50" s="130"/>
      <c r="P50" s="130"/>
      <c r="Q50" s="130"/>
      <c r="R50" s="158" t="s">
        <v>221</v>
      </c>
      <c r="S50" s="128" t="b">
        <f>(S54&lt;$P$9)</f>
        <v>1</v>
      </c>
      <c r="T50" s="128" t="b">
        <f>(T54&lt;$P$9)</f>
        <v>1</v>
      </c>
      <c r="U50" s="128" t="b">
        <f>(U54&lt;$P$9)</f>
        <v>1</v>
      </c>
      <c r="W50" s="128" t="str">
        <f>"Acceptable regret (Rg = "&amp;P9&amp;")"</f>
        <v>Acceptable regret (Rg = 5)</v>
      </c>
    </row>
    <row r="51" spans="2:25" s="128" customFormat="1" ht="16.5" customHeight="1">
      <c r="F51" s="129"/>
      <c r="N51" s="130"/>
      <c r="O51" s="130"/>
      <c r="P51" s="136" t="s">
        <v>195</v>
      </c>
      <c r="Q51" s="136" t="s">
        <v>175</v>
      </c>
      <c r="R51" s="136" t="s">
        <v>190</v>
      </c>
      <c r="S51" s="136" t="s">
        <v>195</v>
      </c>
      <c r="T51" s="136" t="s">
        <v>175</v>
      </c>
      <c r="U51" s="136" t="s">
        <v>190</v>
      </c>
      <c r="X51" s="128">
        <f>MIN(I59:I84)</f>
        <v>1E-4</v>
      </c>
      <c r="Y51" s="128">
        <f>MAX(I59:I84)</f>
        <v>0.11</v>
      </c>
    </row>
    <row r="52" spans="2:25" s="128" customFormat="1" ht="16.5" customHeight="1">
      <c r="F52" s="129"/>
      <c r="G52" s="128" t="str">
        <f>"Testing threshold ("&amp;ROUND(100*I52,2)&amp;"%)"</f>
        <v>Testing threshold (1.56%)</v>
      </c>
      <c r="I52" s="147">
        <f>N27</f>
        <v>1.5604171122994651E-2</v>
      </c>
      <c r="J52" s="150">
        <f t="shared" ref="J52:J53" si="5">I52*$G$58</f>
        <v>15.604171122994652</v>
      </c>
      <c r="K52" s="150">
        <f t="shared" ref="K52:K53" si="6">I52*$G$58*($G$59*$G$60*$G$61+(1-$G$59))/($G$60*$G$59+(1-$G$59))</f>
        <v>8.9351711229946531</v>
      </c>
      <c r="L52" s="149">
        <f t="shared" ref="L52:L53" si="7">I52*$G$61*$G$58</f>
        <v>2.3406256684491975</v>
      </c>
      <c r="M52" s="150">
        <f t="shared" ref="M52:M53" si="8">$G$62*$G$58</f>
        <v>15</v>
      </c>
      <c r="N52" s="150">
        <f t="shared" ref="N52:N53" si="9">($G$59*$G$63+(1-$G$59))*$G$62*$G$58</f>
        <v>21.668999999999997</v>
      </c>
      <c r="O52" s="150">
        <f t="shared" ref="O52:O53" si="10">$G$63*$G$62*$G$58</f>
        <v>32.549999999999997</v>
      </c>
      <c r="P52" s="150">
        <f t="shared" ref="P52:P53" si="11">(J52+$G$64*M52)/(1+$G$64)</f>
        <v>15.302085561497325</v>
      </c>
      <c r="Q52" s="150">
        <f t="shared" ref="Q52:Q53" si="12">(K52+$G$64*N52)/(1+$G$64)</f>
        <v>15.302085561497325</v>
      </c>
      <c r="R52" s="150">
        <f t="shared" ref="R52:R53" si="13">(L52+$G$64*O52)/(1+$G$64)</f>
        <v>17.445312834224598</v>
      </c>
      <c r="S52" s="150">
        <f t="shared" ref="S52:S54" si="14">P52-MIN(P52:R52)</f>
        <v>0</v>
      </c>
      <c r="T52" s="150">
        <f t="shared" ref="T52:T54" si="15">Q52-MIN(P52:R52)</f>
        <v>0</v>
      </c>
      <c r="U52" s="150">
        <f t="shared" ref="U52:U54" si="16">R52-MIN(P52:R52)</f>
        <v>2.1432272727272732</v>
      </c>
      <c r="X52" s="128">
        <f>P9</f>
        <v>5</v>
      </c>
      <c r="Y52" s="128">
        <f>P9</f>
        <v>5</v>
      </c>
    </row>
    <row r="53" spans="2:25" s="128" customFormat="1" ht="16.5" customHeight="1">
      <c r="F53" s="129"/>
      <c r="G53" s="128" t="str">
        <f>"Treatment threshold("&amp;ROUND(100*I53,2)&amp;"%)"</f>
        <v>Treatment threshold(2.57%)</v>
      </c>
      <c r="I53" s="147">
        <f>R27</f>
        <v>2.5746882352941172E-2</v>
      </c>
      <c r="J53" s="150">
        <f t="shared" si="5"/>
        <v>25.746882352941171</v>
      </c>
      <c r="K53" s="150">
        <f t="shared" si="6"/>
        <v>14.743032352941174</v>
      </c>
      <c r="L53" s="149">
        <f t="shared" si="7"/>
        <v>3.8620323529411755</v>
      </c>
      <c r="M53" s="150">
        <f t="shared" si="8"/>
        <v>15</v>
      </c>
      <c r="N53" s="150">
        <f t="shared" si="9"/>
        <v>21.668999999999997</v>
      </c>
      <c r="O53" s="150">
        <f t="shared" si="10"/>
        <v>32.549999999999997</v>
      </c>
      <c r="P53" s="150">
        <f t="shared" si="11"/>
        <v>20.373441176470585</v>
      </c>
      <c r="Q53" s="150">
        <f t="shared" si="12"/>
        <v>18.206016176470584</v>
      </c>
      <c r="R53" s="150">
        <f t="shared" si="13"/>
        <v>18.206016176470587</v>
      </c>
      <c r="S53" s="150">
        <f t="shared" si="14"/>
        <v>2.1674250000000015</v>
      </c>
      <c r="T53" s="150">
        <f t="shared" si="15"/>
        <v>0</v>
      </c>
      <c r="U53" s="150">
        <f t="shared" si="16"/>
        <v>0</v>
      </c>
    </row>
    <row r="54" spans="2:25" s="128" customFormat="1" ht="16.5" customHeight="1">
      <c r="F54" s="129"/>
      <c r="H54" s="128" t="str">
        <f>H56</f>
        <v>Case R2 (p = 1%)</v>
      </c>
      <c r="I54" s="147">
        <f>I56</f>
        <v>0.01</v>
      </c>
      <c r="J54" s="150">
        <f>I54*$G$58</f>
        <v>10</v>
      </c>
      <c r="K54" s="150">
        <f>I54*$G$58*($G$59*$G$60*$G$61+(1-$G$59))/($G$60*$G$59+(1-$G$59))</f>
        <v>5.7261427425821969</v>
      </c>
      <c r="L54" s="149">
        <f>I54*$G$61*$G$58</f>
        <v>1.5</v>
      </c>
      <c r="M54" s="150">
        <f>$G$62*$G$58</f>
        <v>15</v>
      </c>
      <c r="N54" s="150">
        <f>($G$59*$G$63+(1-$G$59))*$G$62*$G$58</f>
        <v>21.668999999999997</v>
      </c>
      <c r="O54" s="150">
        <f>$G$63*$G$62*$G$58</f>
        <v>32.549999999999997</v>
      </c>
      <c r="P54" s="150">
        <f>(J54+$G$64*M54)/(1+$G$64)</f>
        <v>12.5</v>
      </c>
      <c r="Q54" s="150">
        <f>(K54+$G$64*N54)/(1+$G$64)</f>
        <v>13.697571371291097</v>
      </c>
      <c r="R54" s="150">
        <f>(L54+$G$64*O54)/(1+$G$64)</f>
        <v>17.024999999999999</v>
      </c>
      <c r="S54" s="150">
        <f t="shared" si="14"/>
        <v>0</v>
      </c>
      <c r="T54" s="150">
        <f t="shared" si="15"/>
        <v>1.1975713712910974</v>
      </c>
      <c r="U54" s="150">
        <f t="shared" si="16"/>
        <v>4.5249999999999986</v>
      </c>
    </row>
    <row r="55" spans="2:25" s="128" customFormat="1" ht="16.5" customHeight="1">
      <c r="F55" s="129"/>
      <c r="H55" s="128" t="s">
        <v>222</v>
      </c>
      <c r="N55" s="130"/>
      <c r="O55" s="130"/>
      <c r="P55" s="130"/>
      <c r="Q55" s="130"/>
    </row>
    <row r="56" spans="2:25" s="128" customFormat="1" ht="16.5" customHeight="1">
      <c r="F56" s="129"/>
      <c r="H56" s="128" t="str">
        <f>"Case "&amp;B3&amp;" (p = "&amp;ROUND(100*F28,2)&amp;"%)"</f>
        <v>Case R2 (p = 1%)</v>
      </c>
      <c r="I56" s="128">
        <f>F28</f>
        <v>0.01</v>
      </c>
      <c r="J56" s="150"/>
      <c r="K56" s="150"/>
      <c r="N56" s="130"/>
      <c r="O56" s="130"/>
      <c r="P56" s="130"/>
      <c r="Q56" s="130"/>
      <c r="R56" s="150"/>
    </row>
    <row r="57" spans="2:25" s="128" customFormat="1" ht="16.5" customHeight="1">
      <c r="F57" s="129"/>
      <c r="J57" s="271" t="s">
        <v>223</v>
      </c>
      <c r="K57" s="271"/>
      <c r="L57" s="271"/>
      <c r="M57" s="271" t="s">
        <v>224</v>
      </c>
      <c r="N57" s="271"/>
      <c r="O57" s="271"/>
      <c r="P57" s="271" t="str">
        <f>"Weighted Average  (VTE + "&amp;M26&amp;")"</f>
        <v>Weighted Average  (VTE + major bleeding )</v>
      </c>
      <c r="Q57" s="271"/>
      <c r="R57" s="271"/>
      <c r="S57" s="275" t="str">
        <f>"Regret - "&amp;P57</f>
        <v>Regret - Weighted Average  (VTE + major bleeding )</v>
      </c>
      <c r="T57" s="275"/>
      <c r="U57" s="275"/>
      <c r="X57" s="128" t="s">
        <v>225</v>
      </c>
    </row>
    <row r="58" spans="2:25" s="128" customFormat="1" ht="16.5" customHeight="1">
      <c r="F58" s="129" t="s">
        <v>226</v>
      </c>
      <c r="G58" s="128">
        <f>F27</f>
        <v>1000</v>
      </c>
      <c r="I58" s="128" t="s">
        <v>227</v>
      </c>
      <c r="J58" s="136" t="s">
        <v>195</v>
      </c>
      <c r="K58" s="136" t="s">
        <v>175</v>
      </c>
      <c r="L58" s="136" t="s">
        <v>190</v>
      </c>
      <c r="M58" s="136" t="s">
        <v>195</v>
      </c>
      <c r="N58" s="136" t="s">
        <v>175</v>
      </c>
      <c r="O58" s="136" t="s">
        <v>190</v>
      </c>
      <c r="P58" s="136" t="s">
        <v>195</v>
      </c>
      <c r="Q58" s="136" t="s">
        <v>175</v>
      </c>
      <c r="R58" s="136" t="s">
        <v>190</v>
      </c>
      <c r="S58" s="136" t="s">
        <v>195</v>
      </c>
      <c r="T58" s="136" t="s">
        <v>175</v>
      </c>
      <c r="U58" s="136" t="s">
        <v>190</v>
      </c>
      <c r="X58" s="147">
        <f>I52</f>
        <v>1.5604171122994651E-2</v>
      </c>
      <c r="Y58" s="147">
        <f>I52</f>
        <v>1.5604171122994651E-2</v>
      </c>
    </row>
    <row r="59" spans="2:25" s="128" customFormat="1" ht="16.5" customHeight="1">
      <c r="F59" s="129" t="s">
        <v>181</v>
      </c>
      <c r="G59" s="128">
        <f>F29</f>
        <v>0.38</v>
      </c>
      <c r="I59" s="128">
        <v>1E-4</v>
      </c>
      <c r="J59" s="150">
        <f>I59*$G$58</f>
        <v>0.1</v>
      </c>
      <c r="K59" s="150">
        <f>I59*$G$58*($G$59*$G$60*$G$61+(1-$G$59))/($G$60*$G$59+(1-$G$59))</f>
        <v>5.7261427425821972E-2</v>
      </c>
      <c r="L59" s="149">
        <f>I59*$G$61*$G$58</f>
        <v>1.5000000000000001E-2</v>
      </c>
      <c r="M59" s="150">
        <f>$G$62*$G$58</f>
        <v>15</v>
      </c>
      <c r="N59" s="150">
        <f>($G$59*$G$63+(1-$G$59))*$G$62*$G$58</f>
        <v>21.668999999999997</v>
      </c>
      <c r="O59" s="150">
        <f>$G$63*$G$62*$G$58</f>
        <v>32.549999999999997</v>
      </c>
      <c r="P59" s="150">
        <f>(J59+$G$64*M59)/(1+$G$64)</f>
        <v>7.55</v>
      </c>
      <c r="Q59" s="150">
        <f>(K59+$G$64*N59)/(1+$G$64)</f>
        <v>10.863130713712909</v>
      </c>
      <c r="R59" s="150">
        <f>(L59+$G$64*O59)/(1+$G$64)</f>
        <v>16.282499999999999</v>
      </c>
      <c r="S59" s="150">
        <f>P59-MIN(P59:R59)</f>
        <v>0</v>
      </c>
      <c r="T59" s="150">
        <f>Q59-MIN(P59:R59)</f>
        <v>3.3131307137129093</v>
      </c>
      <c r="U59" s="150">
        <f>R59-MIN(P59:R59)</f>
        <v>8.7324999999999982</v>
      </c>
      <c r="W59" s="136" t="s">
        <v>228</v>
      </c>
      <c r="X59" s="149">
        <f>0</f>
        <v>0</v>
      </c>
      <c r="Y59" s="150">
        <f>P52</f>
        <v>15.302085561497325</v>
      </c>
    </row>
    <row r="60" spans="2:25" s="128" customFormat="1" ht="16.5" customHeight="1">
      <c r="F60" s="129" t="s">
        <v>182</v>
      </c>
      <c r="G60" s="128">
        <f>F30</f>
        <v>1.65</v>
      </c>
      <c r="I60" s="128">
        <v>3.5E-4</v>
      </c>
      <c r="J60" s="150">
        <f t="shared" ref="J60:J84" si="17">I60*$G$58</f>
        <v>0.35</v>
      </c>
      <c r="K60" s="150">
        <f t="shared" ref="K60:K84" si="18">I60*$G$58*($G$59*$G$60*$G$61+(1-$G$59))/($G$60*$G$59+(1-$G$59))</f>
        <v>0.20041499599037688</v>
      </c>
      <c r="L60" s="149">
        <f t="shared" ref="L60:L84" si="19">I60*$G$61*$G$58</f>
        <v>5.2499999999999998E-2</v>
      </c>
      <c r="M60" s="150">
        <f t="shared" ref="M60:M84" si="20">$G$62*$G$58</f>
        <v>15</v>
      </c>
      <c r="N60" s="150">
        <f t="shared" ref="N60:N84" si="21">($G$59*$G$63+(1-$G$59))*$G$62*$G$58</f>
        <v>21.668999999999997</v>
      </c>
      <c r="O60" s="150">
        <f t="shared" ref="O60:O84" si="22">$G$63*$G$62*$G$58</f>
        <v>32.549999999999997</v>
      </c>
      <c r="P60" s="150">
        <f t="shared" ref="P60:P84" si="23">(J60+$G$64*M60)/(1+$G$64)</f>
        <v>7.6749999999999998</v>
      </c>
      <c r="Q60" s="150">
        <f t="shared" ref="Q60:Q84" si="24">(K60+$G$64*N60)/(1+$G$64)</f>
        <v>10.934707497995188</v>
      </c>
      <c r="R60" s="150">
        <f t="shared" ref="R60:R84" si="25">(L60+$G$64*O60)/(1+$G$64)</f>
        <v>16.30125</v>
      </c>
      <c r="S60" s="150">
        <f t="shared" ref="S60:S84" si="26">P60-MIN(P60:R60)</f>
        <v>0</v>
      </c>
      <c r="T60" s="150">
        <f t="shared" ref="T60:T84" si="27">Q60-MIN(P60:R60)</f>
        <v>3.2597074979951879</v>
      </c>
      <c r="U60" s="150">
        <f t="shared" ref="U60:U84" si="28">R60-MIN(P60:R60)</f>
        <v>8.6262499999999989</v>
      </c>
      <c r="W60" s="128" t="s">
        <v>229</v>
      </c>
      <c r="X60" s="149">
        <f>0</f>
        <v>0</v>
      </c>
      <c r="Y60" s="139">
        <f>P9</f>
        <v>5</v>
      </c>
    </row>
    <row r="61" spans="2:25" s="128" customFormat="1" ht="16.5" customHeight="1">
      <c r="F61" s="129" t="s">
        <v>183</v>
      </c>
      <c r="G61" s="128">
        <f>J34</f>
        <v>0.15</v>
      </c>
      <c r="I61" s="128">
        <v>1.1999999999999999E-3</v>
      </c>
      <c r="J61" s="150">
        <f t="shared" si="17"/>
        <v>1.2</v>
      </c>
      <c r="K61" s="150">
        <f t="shared" si="18"/>
        <v>0.68713712910986369</v>
      </c>
      <c r="L61" s="149">
        <f t="shared" si="19"/>
        <v>0.18</v>
      </c>
      <c r="M61" s="150">
        <f t="shared" si="20"/>
        <v>15</v>
      </c>
      <c r="N61" s="150">
        <f t="shared" si="21"/>
        <v>21.668999999999997</v>
      </c>
      <c r="O61" s="150">
        <f t="shared" si="22"/>
        <v>32.549999999999997</v>
      </c>
      <c r="P61" s="150">
        <f t="shared" si="23"/>
        <v>8.1</v>
      </c>
      <c r="Q61" s="150">
        <f t="shared" si="24"/>
        <v>11.17806856455493</v>
      </c>
      <c r="R61" s="150">
        <f t="shared" si="25"/>
        <v>16.364999999999998</v>
      </c>
      <c r="S61" s="150">
        <f t="shared" si="26"/>
        <v>0</v>
      </c>
      <c r="T61" s="150">
        <f t="shared" si="27"/>
        <v>3.0780685645549308</v>
      </c>
      <c r="U61" s="150">
        <f t="shared" si="28"/>
        <v>8.2649999999999988</v>
      </c>
    </row>
    <row r="62" spans="2:25" s="128" customFormat="1" ht="16.5" customHeight="1">
      <c r="F62" s="129" t="s">
        <v>230</v>
      </c>
      <c r="G62" s="128">
        <f>M27</f>
        <v>1.4999999999999999E-2</v>
      </c>
      <c r="I62" s="128">
        <v>2E-3</v>
      </c>
      <c r="J62" s="150">
        <f t="shared" si="17"/>
        <v>2</v>
      </c>
      <c r="K62" s="150">
        <f t="shared" si="18"/>
        <v>1.1452285485164395</v>
      </c>
      <c r="L62" s="149">
        <f t="shared" si="19"/>
        <v>0.3</v>
      </c>
      <c r="M62" s="150">
        <f t="shared" si="20"/>
        <v>15</v>
      </c>
      <c r="N62" s="150">
        <f t="shared" si="21"/>
        <v>21.668999999999997</v>
      </c>
      <c r="O62" s="150">
        <f t="shared" si="22"/>
        <v>32.549999999999997</v>
      </c>
      <c r="P62" s="150">
        <f t="shared" si="23"/>
        <v>8.5</v>
      </c>
      <c r="Q62" s="150">
        <f t="shared" si="24"/>
        <v>11.407114274258218</v>
      </c>
      <c r="R62" s="150">
        <f t="shared" si="25"/>
        <v>16.424999999999997</v>
      </c>
      <c r="S62" s="150">
        <f t="shared" si="26"/>
        <v>0</v>
      </c>
      <c r="T62" s="150">
        <f t="shared" si="27"/>
        <v>2.9071142742582179</v>
      </c>
      <c r="U62" s="150">
        <f t="shared" si="28"/>
        <v>7.9249999999999972</v>
      </c>
    </row>
    <row r="63" spans="2:25" s="128" customFormat="1" ht="16.5" customHeight="1">
      <c r="F63" s="129" t="s">
        <v>231</v>
      </c>
      <c r="G63" s="128">
        <f>L29</f>
        <v>2.17</v>
      </c>
      <c r="I63" s="128">
        <v>2.5000000000000001E-3</v>
      </c>
      <c r="J63" s="150">
        <f t="shared" si="17"/>
        <v>2.5</v>
      </c>
      <c r="K63" s="150">
        <f t="shared" si="18"/>
        <v>1.4315356856455492</v>
      </c>
      <c r="L63" s="149">
        <f t="shared" si="19"/>
        <v>0.375</v>
      </c>
      <c r="M63" s="150">
        <f t="shared" si="20"/>
        <v>15</v>
      </c>
      <c r="N63" s="150">
        <f t="shared" si="21"/>
        <v>21.668999999999997</v>
      </c>
      <c r="O63" s="150">
        <f t="shared" si="22"/>
        <v>32.549999999999997</v>
      </c>
      <c r="P63" s="150">
        <f t="shared" si="23"/>
        <v>8.75</v>
      </c>
      <c r="Q63" s="150">
        <f t="shared" si="24"/>
        <v>11.550267842822773</v>
      </c>
      <c r="R63" s="150">
        <f t="shared" si="25"/>
        <v>16.462499999999999</v>
      </c>
      <c r="S63" s="150">
        <f t="shared" si="26"/>
        <v>0</v>
      </c>
      <c r="T63" s="150">
        <f t="shared" si="27"/>
        <v>2.8002678428227732</v>
      </c>
      <c r="U63" s="150">
        <f t="shared" si="28"/>
        <v>7.7124999999999986</v>
      </c>
      <c r="X63" s="128" t="s">
        <v>232</v>
      </c>
    </row>
    <row r="64" spans="2:25" s="128" customFormat="1" ht="16.5" customHeight="1">
      <c r="F64" s="129" t="s">
        <v>233</v>
      </c>
      <c r="G64" s="128">
        <f>H9</f>
        <v>1</v>
      </c>
      <c r="I64" s="128">
        <v>3.0000000000000001E-3</v>
      </c>
      <c r="J64" s="150">
        <f t="shared" si="17"/>
        <v>3</v>
      </c>
      <c r="K64" s="150">
        <f t="shared" si="18"/>
        <v>1.7178428227746594</v>
      </c>
      <c r="L64" s="149">
        <f t="shared" si="19"/>
        <v>0.45</v>
      </c>
      <c r="M64" s="150">
        <f t="shared" si="20"/>
        <v>15</v>
      </c>
      <c r="N64" s="150">
        <f t="shared" si="21"/>
        <v>21.668999999999997</v>
      </c>
      <c r="O64" s="150">
        <f t="shared" si="22"/>
        <v>32.549999999999997</v>
      </c>
      <c r="P64" s="150">
        <f t="shared" si="23"/>
        <v>9</v>
      </c>
      <c r="Q64" s="150">
        <f t="shared" si="24"/>
        <v>11.693421411387328</v>
      </c>
      <c r="R64" s="150">
        <f t="shared" si="25"/>
        <v>16.5</v>
      </c>
      <c r="S64" s="150">
        <f t="shared" si="26"/>
        <v>0</v>
      </c>
      <c r="T64" s="150">
        <f t="shared" si="27"/>
        <v>2.6934214113873285</v>
      </c>
      <c r="U64" s="150">
        <f t="shared" si="28"/>
        <v>7.5</v>
      </c>
      <c r="X64" s="147">
        <f>I53</f>
        <v>2.5746882352941172E-2</v>
      </c>
      <c r="Y64" s="152">
        <f>I53</f>
        <v>2.5746882352941172E-2</v>
      </c>
    </row>
    <row r="65" spans="6:25" s="128" customFormat="1" ht="16.5" customHeight="1">
      <c r="F65" s="129"/>
      <c r="I65" s="128">
        <v>4.0000000000000001E-3</v>
      </c>
      <c r="J65" s="150">
        <f t="shared" si="17"/>
        <v>4</v>
      </c>
      <c r="K65" s="150">
        <f t="shared" si="18"/>
        <v>2.290457097032879</v>
      </c>
      <c r="L65" s="149">
        <f t="shared" si="19"/>
        <v>0.6</v>
      </c>
      <c r="M65" s="150">
        <f t="shared" si="20"/>
        <v>15</v>
      </c>
      <c r="N65" s="150">
        <f t="shared" si="21"/>
        <v>21.668999999999997</v>
      </c>
      <c r="O65" s="150">
        <f t="shared" si="22"/>
        <v>32.549999999999997</v>
      </c>
      <c r="P65" s="150">
        <f t="shared" si="23"/>
        <v>9.5</v>
      </c>
      <c r="Q65" s="150">
        <f t="shared" si="24"/>
        <v>11.979728548516437</v>
      </c>
      <c r="R65" s="150">
        <f t="shared" si="25"/>
        <v>16.574999999999999</v>
      </c>
      <c r="S65" s="150">
        <f t="shared" si="26"/>
        <v>0</v>
      </c>
      <c r="T65" s="150">
        <f t="shared" si="27"/>
        <v>2.4797285485164373</v>
      </c>
      <c r="U65" s="150">
        <f t="shared" si="28"/>
        <v>7.0749999999999993</v>
      </c>
      <c r="W65" s="136" t="s">
        <v>228</v>
      </c>
      <c r="X65" s="150">
        <v>0</v>
      </c>
      <c r="Y65" s="150">
        <f>R53</f>
        <v>18.206016176470587</v>
      </c>
    </row>
    <row r="66" spans="6:25" s="128" customFormat="1" ht="16.5" customHeight="1">
      <c r="F66" s="129"/>
      <c r="I66" s="128">
        <v>4.9000000000000007E-3</v>
      </c>
      <c r="J66" s="150">
        <f t="shared" si="17"/>
        <v>4.9000000000000004</v>
      </c>
      <c r="K66" s="150">
        <f t="shared" si="18"/>
        <v>2.805809943865277</v>
      </c>
      <c r="L66" s="149">
        <f t="shared" si="19"/>
        <v>0.7350000000000001</v>
      </c>
      <c r="M66" s="150">
        <f t="shared" si="20"/>
        <v>15</v>
      </c>
      <c r="N66" s="150">
        <f t="shared" si="21"/>
        <v>21.668999999999997</v>
      </c>
      <c r="O66" s="150">
        <f t="shared" si="22"/>
        <v>32.549999999999997</v>
      </c>
      <c r="P66" s="150">
        <f t="shared" si="23"/>
        <v>9.9499999999999993</v>
      </c>
      <c r="Q66" s="150">
        <f t="shared" si="24"/>
        <v>12.237404971932637</v>
      </c>
      <c r="R66" s="150">
        <f t="shared" si="25"/>
        <v>16.642499999999998</v>
      </c>
      <c r="S66" s="150">
        <f t="shared" si="26"/>
        <v>0</v>
      </c>
      <c r="T66" s="150">
        <f t="shared" si="27"/>
        <v>2.2874049719326379</v>
      </c>
      <c r="U66" s="150">
        <f t="shared" si="28"/>
        <v>6.692499999999999</v>
      </c>
      <c r="W66" s="128" t="s">
        <v>229</v>
      </c>
      <c r="X66" s="150">
        <v>0</v>
      </c>
      <c r="Y66" s="150">
        <f>P9</f>
        <v>5</v>
      </c>
    </row>
    <row r="67" spans="6:25" s="128" customFormat="1" ht="16.5" customHeight="1">
      <c r="F67" s="129"/>
      <c r="I67" s="128">
        <v>6.3E-3</v>
      </c>
      <c r="J67" s="150">
        <f t="shared" si="17"/>
        <v>6.3</v>
      </c>
      <c r="K67" s="150">
        <f t="shared" si="18"/>
        <v>3.6074699278267843</v>
      </c>
      <c r="L67" s="149">
        <f t="shared" si="19"/>
        <v>0.94499999999999995</v>
      </c>
      <c r="M67" s="150">
        <f t="shared" si="20"/>
        <v>15</v>
      </c>
      <c r="N67" s="150">
        <f t="shared" si="21"/>
        <v>21.668999999999997</v>
      </c>
      <c r="O67" s="150">
        <f t="shared" si="22"/>
        <v>32.549999999999997</v>
      </c>
      <c r="P67" s="150">
        <f t="shared" si="23"/>
        <v>10.65</v>
      </c>
      <c r="Q67" s="150">
        <f t="shared" si="24"/>
        <v>12.638234963913391</v>
      </c>
      <c r="R67" s="150">
        <f t="shared" si="25"/>
        <v>16.747499999999999</v>
      </c>
      <c r="S67" s="150">
        <f t="shared" si="26"/>
        <v>0</v>
      </c>
      <c r="T67" s="150">
        <f t="shared" si="27"/>
        <v>1.9882349639133903</v>
      </c>
      <c r="U67" s="150">
        <f t="shared" si="28"/>
        <v>6.0974999999999984</v>
      </c>
    </row>
    <row r="68" spans="6:25" s="128" customFormat="1" ht="16.5" customHeight="1">
      <c r="F68" s="287" t="s">
        <v>234</v>
      </c>
      <c r="G68" s="287"/>
      <c r="I68" s="128">
        <v>7.4999999999999997E-3</v>
      </c>
      <c r="J68" s="150">
        <f t="shared" si="17"/>
        <v>7.5</v>
      </c>
      <c r="K68" s="150">
        <f t="shared" si="18"/>
        <v>4.2946070569366483</v>
      </c>
      <c r="L68" s="149">
        <f t="shared" si="19"/>
        <v>1.125</v>
      </c>
      <c r="M68" s="150">
        <f t="shared" si="20"/>
        <v>15</v>
      </c>
      <c r="N68" s="150">
        <f t="shared" si="21"/>
        <v>21.668999999999997</v>
      </c>
      <c r="O68" s="150">
        <f t="shared" si="22"/>
        <v>32.549999999999997</v>
      </c>
      <c r="P68" s="150">
        <f t="shared" si="23"/>
        <v>11.25</v>
      </c>
      <c r="Q68" s="150">
        <f t="shared" si="24"/>
        <v>12.981803528468323</v>
      </c>
      <c r="R68" s="150">
        <f t="shared" si="25"/>
        <v>16.837499999999999</v>
      </c>
      <c r="S68" s="150">
        <f t="shared" si="26"/>
        <v>0</v>
      </c>
      <c r="T68" s="150">
        <f t="shared" si="27"/>
        <v>1.7318035284683226</v>
      </c>
      <c r="U68" s="150">
        <f t="shared" si="28"/>
        <v>5.5874999999999986</v>
      </c>
    </row>
    <row r="69" spans="6:25" s="128" customFormat="1" ht="16.5" customHeight="1">
      <c r="F69" s="287"/>
      <c r="G69" s="287"/>
      <c r="I69" s="128">
        <v>8.0000000000000002E-3</v>
      </c>
      <c r="J69" s="150">
        <f t="shared" si="17"/>
        <v>8</v>
      </c>
      <c r="K69" s="150">
        <f t="shared" si="18"/>
        <v>4.5809141940657581</v>
      </c>
      <c r="L69" s="149">
        <f t="shared" si="19"/>
        <v>1.2</v>
      </c>
      <c r="M69" s="150">
        <f t="shared" si="20"/>
        <v>15</v>
      </c>
      <c r="N69" s="150">
        <f t="shared" si="21"/>
        <v>21.668999999999997</v>
      </c>
      <c r="O69" s="150">
        <f t="shared" si="22"/>
        <v>32.549999999999997</v>
      </c>
      <c r="P69" s="150">
        <f t="shared" si="23"/>
        <v>11.5</v>
      </c>
      <c r="Q69" s="150">
        <f t="shared" si="24"/>
        <v>13.124957097032878</v>
      </c>
      <c r="R69" s="150">
        <f t="shared" si="25"/>
        <v>16.875</v>
      </c>
      <c r="S69" s="150">
        <f t="shared" si="26"/>
        <v>0</v>
      </c>
      <c r="T69" s="150">
        <f t="shared" si="27"/>
        <v>1.6249570970328779</v>
      </c>
      <c r="U69" s="150">
        <f t="shared" si="28"/>
        <v>5.375</v>
      </c>
      <c r="X69" s="128" t="s">
        <v>222</v>
      </c>
    </row>
    <row r="70" spans="6:25" s="128" customFormat="1" ht="16.5" customHeight="1">
      <c r="F70" s="287"/>
      <c r="G70" s="287"/>
      <c r="I70" s="128">
        <v>8.4000000000000012E-3</v>
      </c>
      <c r="J70" s="150">
        <f t="shared" si="17"/>
        <v>8.4</v>
      </c>
      <c r="K70" s="150">
        <f t="shared" si="18"/>
        <v>4.8099599037690464</v>
      </c>
      <c r="L70" s="149">
        <f t="shared" si="19"/>
        <v>1.26</v>
      </c>
      <c r="M70" s="150">
        <f t="shared" si="20"/>
        <v>15</v>
      </c>
      <c r="N70" s="150">
        <f t="shared" si="21"/>
        <v>21.668999999999997</v>
      </c>
      <c r="O70" s="150">
        <f t="shared" si="22"/>
        <v>32.549999999999997</v>
      </c>
      <c r="P70" s="150">
        <f t="shared" si="23"/>
        <v>11.7</v>
      </c>
      <c r="Q70" s="150">
        <f t="shared" si="24"/>
        <v>13.239479951884523</v>
      </c>
      <c r="R70" s="150">
        <f t="shared" si="25"/>
        <v>16.904999999999998</v>
      </c>
      <c r="S70" s="150">
        <f t="shared" si="26"/>
        <v>0</v>
      </c>
      <c r="T70" s="150">
        <f t="shared" si="27"/>
        <v>1.5394799518845232</v>
      </c>
      <c r="U70" s="150">
        <f t="shared" si="28"/>
        <v>5.2049999999999983</v>
      </c>
      <c r="X70" s="130">
        <f>I56</f>
        <v>0.01</v>
      </c>
      <c r="Y70" s="130">
        <f>X70</f>
        <v>0.01</v>
      </c>
    </row>
    <row r="71" spans="6:25" s="128" customFormat="1" ht="16.5" customHeight="1">
      <c r="F71" s="287"/>
      <c r="G71" s="287"/>
      <c r="I71" s="128">
        <v>0.01</v>
      </c>
      <c r="J71" s="150">
        <f t="shared" si="17"/>
        <v>10</v>
      </c>
      <c r="K71" s="150">
        <f t="shared" si="18"/>
        <v>5.7261427425821969</v>
      </c>
      <c r="L71" s="149">
        <f t="shared" si="19"/>
        <v>1.5</v>
      </c>
      <c r="M71" s="150">
        <f t="shared" si="20"/>
        <v>15</v>
      </c>
      <c r="N71" s="150">
        <f t="shared" si="21"/>
        <v>21.668999999999997</v>
      </c>
      <c r="O71" s="150">
        <f t="shared" si="22"/>
        <v>32.549999999999997</v>
      </c>
      <c r="P71" s="150">
        <f t="shared" si="23"/>
        <v>12.5</v>
      </c>
      <c r="Q71" s="150">
        <f t="shared" si="24"/>
        <v>13.697571371291097</v>
      </c>
      <c r="R71" s="150">
        <f t="shared" si="25"/>
        <v>17.024999999999999</v>
      </c>
      <c r="S71" s="150">
        <f t="shared" si="26"/>
        <v>0</v>
      </c>
      <c r="T71" s="150">
        <f t="shared" si="27"/>
        <v>1.1975713712910974</v>
      </c>
      <c r="U71" s="150">
        <f t="shared" si="28"/>
        <v>4.5249999999999986</v>
      </c>
      <c r="W71" s="136" t="s">
        <v>228</v>
      </c>
      <c r="X71" s="149">
        <v>0</v>
      </c>
      <c r="Y71" s="149">
        <f>MIN(P54:R54)</f>
        <v>12.5</v>
      </c>
    </row>
    <row r="72" spans="6:25" s="128" customFormat="1" ht="16.5" customHeight="1">
      <c r="F72" s="287"/>
      <c r="G72" s="287"/>
      <c r="I72" s="128">
        <v>1.2E-2</v>
      </c>
      <c r="J72" s="150">
        <f t="shared" si="17"/>
        <v>12</v>
      </c>
      <c r="K72" s="150">
        <f t="shared" si="18"/>
        <v>6.8713712910986375</v>
      </c>
      <c r="L72" s="149">
        <f t="shared" si="19"/>
        <v>1.8</v>
      </c>
      <c r="M72" s="150">
        <f t="shared" si="20"/>
        <v>15</v>
      </c>
      <c r="N72" s="150">
        <f t="shared" si="21"/>
        <v>21.668999999999997</v>
      </c>
      <c r="O72" s="150">
        <f t="shared" si="22"/>
        <v>32.549999999999997</v>
      </c>
      <c r="P72" s="150">
        <f t="shared" si="23"/>
        <v>13.5</v>
      </c>
      <c r="Q72" s="150">
        <f t="shared" si="24"/>
        <v>14.270185645549317</v>
      </c>
      <c r="R72" s="150">
        <f t="shared" si="25"/>
        <v>17.174999999999997</v>
      </c>
      <c r="S72" s="150">
        <f t="shared" si="26"/>
        <v>0</v>
      </c>
      <c r="T72" s="150">
        <f t="shared" si="27"/>
        <v>0.77018564554931679</v>
      </c>
      <c r="U72" s="150">
        <f t="shared" si="28"/>
        <v>3.6749999999999972</v>
      </c>
      <c r="W72" s="128" t="s">
        <v>229</v>
      </c>
      <c r="X72" s="149">
        <v>0</v>
      </c>
      <c r="Y72" s="149">
        <f>P9</f>
        <v>5</v>
      </c>
    </row>
    <row r="73" spans="6:25" s="128" customFormat="1" ht="16.5" customHeight="1">
      <c r="F73" s="287"/>
      <c r="G73" s="287"/>
      <c r="I73" s="128">
        <v>1.4999999999999999E-2</v>
      </c>
      <c r="J73" s="150">
        <f t="shared" si="17"/>
        <v>15</v>
      </c>
      <c r="K73" s="150">
        <f t="shared" si="18"/>
        <v>8.5892141138732967</v>
      </c>
      <c r="L73" s="149">
        <f t="shared" si="19"/>
        <v>2.25</v>
      </c>
      <c r="M73" s="150">
        <f t="shared" si="20"/>
        <v>15</v>
      </c>
      <c r="N73" s="150">
        <f t="shared" si="21"/>
        <v>21.668999999999997</v>
      </c>
      <c r="O73" s="150">
        <f t="shared" si="22"/>
        <v>32.549999999999997</v>
      </c>
      <c r="P73" s="150">
        <f t="shared" si="23"/>
        <v>15</v>
      </c>
      <c r="Q73" s="150">
        <f t="shared" si="24"/>
        <v>15.129107056936647</v>
      </c>
      <c r="R73" s="150">
        <f t="shared" si="25"/>
        <v>17.399999999999999</v>
      </c>
      <c r="S73" s="150">
        <f t="shared" si="26"/>
        <v>0</v>
      </c>
      <c r="T73" s="150">
        <f t="shared" si="27"/>
        <v>0.12910705693664681</v>
      </c>
      <c r="U73" s="150">
        <f t="shared" si="28"/>
        <v>2.3999999999999986</v>
      </c>
    </row>
    <row r="74" spans="6:25" s="128" customFormat="1" ht="16.5" customHeight="1">
      <c r="F74" s="287"/>
      <c r="G74" s="287"/>
      <c r="I74" s="128">
        <v>1.7999999999999999E-2</v>
      </c>
      <c r="J74" s="150">
        <f t="shared" si="17"/>
        <v>18</v>
      </c>
      <c r="K74" s="150">
        <f t="shared" si="18"/>
        <v>10.307056936647957</v>
      </c>
      <c r="L74" s="149">
        <f t="shared" si="19"/>
        <v>2.6999999999999997</v>
      </c>
      <c r="M74" s="150">
        <f t="shared" si="20"/>
        <v>15</v>
      </c>
      <c r="N74" s="150">
        <f t="shared" si="21"/>
        <v>21.668999999999997</v>
      </c>
      <c r="O74" s="150">
        <f t="shared" si="22"/>
        <v>32.549999999999997</v>
      </c>
      <c r="P74" s="150">
        <f t="shared" si="23"/>
        <v>16.5</v>
      </c>
      <c r="Q74" s="150">
        <f t="shared" si="24"/>
        <v>15.988028468323977</v>
      </c>
      <c r="R74" s="150">
        <f t="shared" si="25"/>
        <v>17.625</v>
      </c>
      <c r="S74" s="150">
        <f t="shared" si="26"/>
        <v>0.51197153167602316</v>
      </c>
      <c r="T74" s="150">
        <f t="shared" si="27"/>
        <v>0</v>
      </c>
      <c r="U74" s="150">
        <f t="shared" si="28"/>
        <v>1.6369715316760232</v>
      </c>
    </row>
    <row r="75" spans="6:25" s="128" customFormat="1" ht="16.5" customHeight="1">
      <c r="F75" s="287"/>
      <c r="G75" s="287"/>
      <c r="I75" s="128">
        <v>2.0250000000000001E-2</v>
      </c>
      <c r="J75" s="150">
        <f t="shared" si="17"/>
        <v>20.25</v>
      </c>
      <c r="K75" s="150">
        <f t="shared" si="18"/>
        <v>11.595439053728949</v>
      </c>
      <c r="L75" s="149">
        <f t="shared" si="19"/>
        <v>3.0374999999999996</v>
      </c>
      <c r="M75" s="150">
        <f t="shared" si="20"/>
        <v>15</v>
      </c>
      <c r="N75" s="150">
        <f t="shared" si="21"/>
        <v>21.668999999999997</v>
      </c>
      <c r="O75" s="150">
        <f t="shared" si="22"/>
        <v>32.549999999999997</v>
      </c>
      <c r="P75" s="150">
        <f t="shared" si="23"/>
        <v>17.625</v>
      </c>
      <c r="Q75" s="150">
        <f t="shared" si="24"/>
        <v>16.632219526864475</v>
      </c>
      <c r="R75" s="150">
        <f t="shared" si="25"/>
        <v>17.793749999999999</v>
      </c>
      <c r="S75" s="150">
        <f t="shared" si="26"/>
        <v>0.9927804731355252</v>
      </c>
      <c r="T75" s="150">
        <f t="shared" si="27"/>
        <v>0</v>
      </c>
      <c r="U75" s="150">
        <f t="shared" si="28"/>
        <v>1.1615304731355245</v>
      </c>
    </row>
    <row r="76" spans="6:25" s="128" customFormat="1" ht="16.5" customHeight="1">
      <c r="F76" s="287"/>
      <c r="G76" s="287"/>
      <c r="I76" s="128">
        <v>2.5000000000000001E-2</v>
      </c>
      <c r="J76" s="150">
        <f t="shared" si="17"/>
        <v>25</v>
      </c>
      <c r="K76" s="150">
        <f t="shared" si="18"/>
        <v>14.315356856455494</v>
      </c>
      <c r="L76" s="149">
        <f t="shared" si="19"/>
        <v>3.75</v>
      </c>
      <c r="M76" s="150">
        <f t="shared" si="20"/>
        <v>15</v>
      </c>
      <c r="N76" s="150">
        <f t="shared" si="21"/>
        <v>21.668999999999997</v>
      </c>
      <c r="O76" s="150">
        <f t="shared" si="22"/>
        <v>32.549999999999997</v>
      </c>
      <c r="P76" s="150">
        <f t="shared" si="23"/>
        <v>20</v>
      </c>
      <c r="Q76" s="150">
        <f t="shared" si="24"/>
        <v>17.992178428227746</v>
      </c>
      <c r="R76" s="150">
        <f t="shared" si="25"/>
        <v>18.149999999999999</v>
      </c>
      <c r="S76" s="150">
        <f t="shared" si="26"/>
        <v>2.0078215717722543</v>
      </c>
      <c r="T76" s="150">
        <f t="shared" si="27"/>
        <v>0</v>
      </c>
      <c r="U76" s="150">
        <f t="shared" si="28"/>
        <v>0.15782157177225287</v>
      </c>
    </row>
    <row r="77" spans="6:25" s="128" customFormat="1" ht="16.5" customHeight="1">
      <c r="F77" s="287"/>
      <c r="G77" s="287"/>
      <c r="I77" s="128">
        <v>3.7499999999999999E-2</v>
      </c>
      <c r="J77" s="150">
        <f t="shared" si="17"/>
        <v>37.5</v>
      </c>
      <c r="K77" s="150">
        <f t="shared" si="18"/>
        <v>21.473035284683238</v>
      </c>
      <c r="L77" s="149">
        <f t="shared" si="19"/>
        <v>5.625</v>
      </c>
      <c r="M77" s="150">
        <f t="shared" si="20"/>
        <v>15</v>
      </c>
      <c r="N77" s="150">
        <f t="shared" si="21"/>
        <v>21.668999999999997</v>
      </c>
      <c r="O77" s="150">
        <f t="shared" si="22"/>
        <v>32.549999999999997</v>
      </c>
      <c r="P77" s="150">
        <f t="shared" si="23"/>
        <v>26.25</v>
      </c>
      <c r="Q77" s="150">
        <f t="shared" si="24"/>
        <v>21.571017642341616</v>
      </c>
      <c r="R77" s="150">
        <f t="shared" si="25"/>
        <v>19.087499999999999</v>
      </c>
      <c r="S77" s="150">
        <f t="shared" si="26"/>
        <v>7.1625000000000014</v>
      </c>
      <c r="T77" s="150">
        <f t="shared" si="27"/>
        <v>2.4835176423416172</v>
      </c>
      <c r="U77" s="150">
        <f t="shared" si="28"/>
        <v>0</v>
      </c>
    </row>
    <row r="78" spans="6:25" s="128" customFormat="1" ht="16.5" customHeight="1">
      <c r="F78" s="287"/>
      <c r="G78" s="287"/>
      <c r="I78" s="128">
        <v>3.7999999999999999E-2</v>
      </c>
      <c r="J78" s="150">
        <f t="shared" si="17"/>
        <v>38</v>
      </c>
      <c r="K78" s="150">
        <f t="shared" si="18"/>
        <v>21.759342421812349</v>
      </c>
      <c r="L78" s="149">
        <f t="shared" si="19"/>
        <v>5.6999999999999993</v>
      </c>
      <c r="M78" s="150">
        <f t="shared" si="20"/>
        <v>15</v>
      </c>
      <c r="N78" s="150">
        <f t="shared" si="21"/>
        <v>21.668999999999997</v>
      </c>
      <c r="O78" s="150">
        <f t="shared" si="22"/>
        <v>32.549999999999997</v>
      </c>
      <c r="P78" s="150">
        <f t="shared" si="23"/>
        <v>26.5</v>
      </c>
      <c r="Q78" s="150">
        <f t="shared" si="24"/>
        <v>21.714171210906173</v>
      </c>
      <c r="R78" s="150">
        <f t="shared" si="25"/>
        <v>19.125</v>
      </c>
      <c r="S78" s="150">
        <f t="shared" si="26"/>
        <v>7.375</v>
      </c>
      <c r="T78" s="150">
        <f t="shared" si="27"/>
        <v>2.5891712109061729</v>
      </c>
      <c r="U78" s="150">
        <f t="shared" si="28"/>
        <v>0</v>
      </c>
    </row>
    <row r="79" spans="6:25" s="128" customFormat="1" ht="16.5" customHeight="1">
      <c r="F79" s="287"/>
      <c r="G79" s="287"/>
      <c r="I79" s="128">
        <v>3.7999999999999999E-2</v>
      </c>
      <c r="J79" s="150">
        <f t="shared" si="17"/>
        <v>38</v>
      </c>
      <c r="K79" s="150">
        <f t="shared" si="18"/>
        <v>21.759342421812349</v>
      </c>
      <c r="L79" s="149">
        <f t="shared" si="19"/>
        <v>5.6999999999999993</v>
      </c>
      <c r="M79" s="150">
        <f t="shared" si="20"/>
        <v>15</v>
      </c>
      <c r="N79" s="150">
        <f t="shared" si="21"/>
        <v>21.668999999999997</v>
      </c>
      <c r="O79" s="150">
        <f t="shared" si="22"/>
        <v>32.549999999999997</v>
      </c>
      <c r="P79" s="150">
        <f t="shared" si="23"/>
        <v>26.5</v>
      </c>
      <c r="Q79" s="150">
        <f t="shared" si="24"/>
        <v>21.714171210906173</v>
      </c>
      <c r="R79" s="150">
        <f t="shared" si="25"/>
        <v>19.125</v>
      </c>
      <c r="S79" s="150">
        <f t="shared" si="26"/>
        <v>7.375</v>
      </c>
      <c r="T79" s="150">
        <f t="shared" si="27"/>
        <v>2.5891712109061729</v>
      </c>
      <c r="U79" s="150">
        <f t="shared" si="28"/>
        <v>0</v>
      </c>
    </row>
    <row r="80" spans="6:25" s="128" customFormat="1" ht="16.5" customHeight="1">
      <c r="F80" s="129"/>
      <c r="I80" s="128">
        <v>0.05</v>
      </c>
      <c r="J80" s="150">
        <f t="shared" si="17"/>
        <v>50</v>
      </c>
      <c r="K80" s="150">
        <f t="shared" si="18"/>
        <v>28.630713712910989</v>
      </c>
      <c r="L80" s="149">
        <f t="shared" si="19"/>
        <v>7.5</v>
      </c>
      <c r="M80" s="150">
        <f t="shared" si="20"/>
        <v>15</v>
      </c>
      <c r="N80" s="150">
        <f t="shared" si="21"/>
        <v>21.668999999999997</v>
      </c>
      <c r="O80" s="150">
        <f t="shared" si="22"/>
        <v>32.549999999999997</v>
      </c>
      <c r="P80" s="150">
        <f t="shared" si="23"/>
        <v>32.5</v>
      </c>
      <c r="Q80" s="150">
        <f t="shared" si="24"/>
        <v>25.149856856455493</v>
      </c>
      <c r="R80" s="150">
        <f t="shared" si="25"/>
        <v>20.024999999999999</v>
      </c>
      <c r="S80" s="150">
        <f t="shared" si="26"/>
        <v>12.475000000000001</v>
      </c>
      <c r="T80" s="150">
        <f t="shared" si="27"/>
        <v>5.1248568564554944</v>
      </c>
      <c r="U80" s="150">
        <f t="shared" si="28"/>
        <v>0</v>
      </c>
      <c r="X80" s="130"/>
      <c r="Y80" s="130"/>
    </row>
    <row r="81" spans="6:24" s="128" customFormat="1" ht="16.5" customHeight="1">
      <c r="F81" s="129"/>
      <c r="I81" s="128">
        <v>6.6000000000000003E-2</v>
      </c>
      <c r="J81" s="150">
        <f t="shared" si="17"/>
        <v>66</v>
      </c>
      <c r="K81" s="150">
        <f t="shared" si="18"/>
        <v>37.792542101042507</v>
      </c>
      <c r="L81" s="149">
        <f t="shared" si="19"/>
        <v>9.9</v>
      </c>
      <c r="M81" s="150">
        <f t="shared" si="20"/>
        <v>15</v>
      </c>
      <c r="N81" s="150">
        <f t="shared" si="21"/>
        <v>21.668999999999997</v>
      </c>
      <c r="O81" s="150">
        <f t="shared" si="22"/>
        <v>32.549999999999997</v>
      </c>
      <c r="P81" s="150">
        <f t="shared" si="23"/>
        <v>40.5</v>
      </c>
      <c r="Q81" s="150">
        <f t="shared" si="24"/>
        <v>29.730771050521252</v>
      </c>
      <c r="R81" s="150">
        <f t="shared" si="25"/>
        <v>21.224999999999998</v>
      </c>
      <c r="S81" s="150">
        <f t="shared" si="26"/>
        <v>19.275000000000002</v>
      </c>
      <c r="T81" s="150">
        <f t="shared" si="27"/>
        <v>8.505771050521254</v>
      </c>
      <c r="U81" s="150">
        <f t="shared" si="28"/>
        <v>0</v>
      </c>
    </row>
    <row r="82" spans="6:24" s="128" customFormat="1" ht="16.5" customHeight="1">
      <c r="F82" s="129"/>
      <c r="I82" s="128">
        <v>7.4999999999999997E-2</v>
      </c>
      <c r="J82" s="150">
        <f t="shared" si="17"/>
        <v>75</v>
      </c>
      <c r="K82" s="150">
        <f t="shared" si="18"/>
        <v>42.946070569366476</v>
      </c>
      <c r="L82" s="149">
        <f t="shared" si="19"/>
        <v>11.25</v>
      </c>
      <c r="M82" s="150">
        <f t="shared" si="20"/>
        <v>15</v>
      </c>
      <c r="N82" s="150">
        <f t="shared" si="21"/>
        <v>21.668999999999997</v>
      </c>
      <c r="O82" s="150">
        <f t="shared" si="22"/>
        <v>32.549999999999997</v>
      </c>
      <c r="P82" s="150">
        <f t="shared" si="23"/>
        <v>45</v>
      </c>
      <c r="Q82" s="150">
        <f t="shared" si="24"/>
        <v>32.30753528468324</v>
      </c>
      <c r="R82" s="150">
        <f t="shared" si="25"/>
        <v>21.9</v>
      </c>
      <c r="S82" s="150">
        <f t="shared" si="26"/>
        <v>23.1</v>
      </c>
      <c r="T82" s="150">
        <f t="shared" si="27"/>
        <v>10.407535284683242</v>
      </c>
      <c r="U82" s="150">
        <f t="shared" si="28"/>
        <v>0</v>
      </c>
    </row>
    <row r="83" spans="6:24" s="128" customFormat="1" ht="16.5" customHeight="1">
      <c r="F83" s="129"/>
      <c r="I83" s="128">
        <v>0.1</v>
      </c>
      <c r="J83" s="150">
        <f t="shared" si="17"/>
        <v>100</v>
      </c>
      <c r="K83" s="150">
        <f t="shared" si="18"/>
        <v>57.261427425821978</v>
      </c>
      <c r="L83" s="149">
        <f t="shared" si="19"/>
        <v>15</v>
      </c>
      <c r="M83" s="150">
        <f t="shared" si="20"/>
        <v>15</v>
      </c>
      <c r="N83" s="150">
        <f t="shared" si="21"/>
        <v>21.668999999999997</v>
      </c>
      <c r="O83" s="150">
        <f t="shared" si="22"/>
        <v>32.549999999999997</v>
      </c>
      <c r="P83" s="150">
        <f t="shared" si="23"/>
        <v>57.5</v>
      </c>
      <c r="Q83" s="150">
        <f t="shared" si="24"/>
        <v>39.465213712910987</v>
      </c>
      <c r="R83" s="150">
        <f t="shared" si="25"/>
        <v>23.774999999999999</v>
      </c>
      <c r="S83" s="150">
        <f t="shared" si="26"/>
        <v>33.725000000000001</v>
      </c>
      <c r="T83" s="150">
        <f t="shared" si="27"/>
        <v>15.690213712910989</v>
      </c>
      <c r="U83" s="150">
        <f t="shared" si="28"/>
        <v>0</v>
      </c>
    </row>
    <row r="84" spans="6:24" s="128" customFormat="1" ht="16.5" customHeight="1">
      <c r="F84" s="129"/>
      <c r="I84" s="128">
        <v>0.11</v>
      </c>
      <c r="J84" s="150">
        <f t="shared" si="17"/>
        <v>110</v>
      </c>
      <c r="K84" s="150">
        <f t="shared" si="18"/>
        <v>62.987570168404169</v>
      </c>
      <c r="L84" s="149">
        <f t="shared" si="19"/>
        <v>16.5</v>
      </c>
      <c r="M84" s="150">
        <f t="shared" si="20"/>
        <v>15</v>
      </c>
      <c r="N84" s="150">
        <f t="shared" si="21"/>
        <v>21.668999999999997</v>
      </c>
      <c r="O84" s="150">
        <f t="shared" si="22"/>
        <v>32.549999999999997</v>
      </c>
      <c r="P84" s="150">
        <f t="shared" si="23"/>
        <v>62.5</v>
      </c>
      <c r="Q84" s="150">
        <f t="shared" si="24"/>
        <v>42.328285084202079</v>
      </c>
      <c r="R84" s="150">
        <f t="shared" si="25"/>
        <v>24.524999999999999</v>
      </c>
      <c r="S84" s="150">
        <f t="shared" si="26"/>
        <v>37.975000000000001</v>
      </c>
      <c r="T84" s="150">
        <f t="shared" si="27"/>
        <v>17.803285084202081</v>
      </c>
      <c r="U84" s="150">
        <f t="shared" si="28"/>
        <v>0</v>
      </c>
    </row>
    <row r="85" spans="6:24" s="128" customFormat="1" ht="16.5" customHeight="1">
      <c r="F85" s="129"/>
      <c r="I85" s="128" t="s">
        <v>235</v>
      </c>
      <c r="N85" s="130"/>
      <c r="O85" s="130"/>
      <c r="P85" s="130"/>
      <c r="Q85" s="130"/>
      <c r="W85" s="128" t="s">
        <v>236</v>
      </c>
    </row>
    <row r="86" spans="6:24" s="128" customFormat="1" ht="16.5" customHeight="1">
      <c r="F86" s="129"/>
      <c r="I86" s="130" t="s">
        <v>227</v>
      </c>
      <c r="J86" s="159" t="s">
        <v>195</v>
      </c>
      <c r="K86" s="159" t="s">
        <v>175</v>
      </c>
      <c r="L86" s="159" t="s">
        <v>190</v>
      </c>
      <c r="M86" s="159" t="s">
        <v>195</v>
      </c>
      <c r="N86" s="159" t="s">
        <v>175</v>
      </c>
      <c r="O86" s="159" t="s">
        <v>190</v>
      </c>
      <c r="P86" s="159" t="s">
        <v>195</v>
      </c>
      <c r="Q86" s="159" t="s">
        <v>175</v>
      </c>
      <c r="R86" s="159" t="s">
        <v>190</v>
      </c>
      <c r="S86" s="159" t="s">
        <v>195</v>
      </c>
      <c r="T86" s="159" t="s">
        <v>175</v>
      </c>
      <c r="U86" s="159" t="s">
        <v>190</v>
      </c>
      <c r="W86" s="159" t="s">
        <v>228</v>
      </c>
      <c r="X86" s="159" t="s">
        <v>237</v>
      </c>
    </row>
    <row r="87" spans="6:24" s="128" customFormat="1" ht="16.5" customHeight="1">
      <c r="F87" s="129"/>
      <c r="I87" s="152">
        <v>1E-4</v>
      </c>
      <c r="J87" s="160">
        <f t="shared" ref="J87:J90" si="29">I87*$G$58</f>
        <v>0.1</v>
      </c>
      <c r="K87" s="160">
        <f t="shared" ref="K87:K90" si="30">I87*$G$58*($G$59*$G$60*$G$61+(1-$G$59))/($G$60*$G$59+(1-$G$59))</f>
        <v>5.7261427425821972E-2</v>
      </c>
      <c r="L87" s="160">
        <f t="shared" ref="L87:L90" si="31">I87*$G$61*$G$58</f>
        <v>1.5000000000000001E-2</v>
      </c>
      <c r="M87" s="160">
        <f t="shared" ref="M87:M90" si="32">$G$62*$G$58</f>
        <v>15</v>
      </c>
      <c r="N87" s="160">
        <f t="shared" ref="N87:N90" si="33">($G$59*$G$63+(1-$G$59))*$G$62*$G$58</f>
        <v>21.668999999999997</v>
      </c>
      <c r="O87" s="160">
        <f t="shared" ref="O87:O90" si="34">$G$63*$G$62*$G$58</f>
        <v>32.549999999999997</v>
      </c>
      <c r="P87" s="160">
        <f t="shared" ref="P87:P90" si="35">(J87+$G$64*M87)/(1+$G$64)</f>
        <v>7.55</v>
      </c>
      <c r="Q87" s="160">
        <f t="shared" ref="Q87:Q90" si="36">(K87+$G$64*N87)/(1+$G$64)</f>
        <v>10.863130713712909</v>
      </c>
      <c r="R87" s="160">
        <f t="shared" ref="R87:R90" si="37">(L87+$G$64*O87)/(1+$G$64)</f>
        <v>16.282499999999999</v>
      </c>
      <c r="S87" s="160">
        <f t="shared" ref="S87:S90" si="38">P87-MIN(P87:R87)</f>
        <v>0</v>
      </c>
      <c r="T87" s="160">
        <f t="shared" ref="T87:T90" si="39">Q87-MIN(P87:R87)</f>
        <v>3.3131307137129093</v>
      </c>
      <c r="U87" s="160">
        <f t="shared" ref="U87:U90" si="40">R87-MIN(P87:R87)</f>
        <v>8.7324999999999982</v>
      </c>
      <c r="W87" s="150">
        <f>ROUNDUP(MAX(Y59,Y65,Y71),-1)</f>
        <v>20</v>
      </c>
    </row>
    <row r="88" spans="6:24" s="128" customFormat="1" ht="16.5" customHeight="1">
      <c r="F88" s="129"/>
      <c r="I88" s="152">
        <f>MAX(0.0001,X58)</f>
        <v>1.5604171122994651E-2</v>
      </c>
      <c r="J88" s="160">
        <f t="shared" si="29"/>
        <v>15.604171122994652</v>
      </c>
      <c r="K88" s="160">
        <f t="shared" si="30"/>
        <v>8.9351711229946531</v>
      </c>
      <c r="L88" s="160">
        <f t="shared" si="31"/>
        <v>2.3406256684491975</v>
      </c>
      <c r="M88" s="160">
        <f t="shared" si="32"/>
        <v>15</v>
      </c>
      <c r="N88" s="160">
        <f t="shared" si="33"/>
        <v>21.668999999999997</v>
      </c>
      <c r="O88" s="160">
        <f t="shared" si="34"/>
        <v>32.549999999999997</v>
      </c>
      <c r="P88" s="160">
        <f t="shared" si="35"/>
        <v>15.302085561497325</v>
      </c>
      <c r="Q88" s="160">
        <f t="shared" si="36"/>
        <v>15.302085561497325</v>
      </c>
      <c r="R88" s="160">
        <f t="shared" si="37"/>
        <v>17.445312834224598</v>
      </c>
      <c r="S88" s="160">
        <f t="shared" si="38"/>
        <v>0</v>
      </c>
      <c r="T88" s="160">
        <f t="shared" si="39"/>
        <v>0</v>
      </c>
      <c r="U88" s="160">
        <f t="shared" si="40"/>
        <v>2.1432272727272732</v>
      </c>
    </row>
    <row r="89" spans="6:24" s="128" customFormat="1" ht="16.5" customHeight="1">
      <c r="F89" s="129"/>
      <c r="I89" s="152">
        <f>MIN(X64,I90)</f>
        <v>2.5746882352941172E-2</v>
      </c>
      <c r="J89" s="160">
        <f t="shared" si="29"/>
        <v>25.746882352941171</v>
      </c>
      <c r="K89" s="160">
        <f t="shared" si="30"/>
        <v>14.743032352941174</v>
      </c>
      <c r="L89" s="160">
        <f t="shared" si="31"/>
        <v>3.8620323529411755</v>
      </c>
      <c r="M89" s="160">
        <f t="shared" si="32"/>
        <v>15</v>
      </c>
      <c r="N89" s="160">
        <f t="shared" si="33"/>
        <v>21.668999999999997</v>
      </c>
      <c r="O89" s="160">
        <f t="shared" si="34"/>
        <v>32.549999999999997</v>
      </c>
      <c r="P89" s="160">
        <f t="shared" si="35"/>
        <v>20.373441176470585</v>
      </c>
      <c r="Q89" s="160">
        <f t="shared" si="36"/>
        <v>18.206016176470584</v>
      </c>
      <c r="R89" s="160">
        <f t="shared" si="37"/>
        <v>18.206016176470587</v>
      </c>
      <c r="S89" s="160">
        <f t="shared" si="38"/>
        <v>2.1674250000000015</v>
      </c>
      <c r="T89" s="160">
        <f t="shared" si="39"/>
        <v>0</v>
      </c>
      <c r="U89" s="160">
        <f t="shared" si="40"/>
        <v>0</v>
      </c>
    </row>
    <row r="90" spans="6:24" s="128" customFormat="1" ht="16.5" customHeight="1">
      <c r="F90" s="129"/>
      <c r="I90" s="152">
        <v>0.11</v>
      </c>
      <c r="J90" s="160">
        <f t="shared" si="29"/>
        <v>110</v>
      </c>
      <c r="K90" s="160">
        <f t="shared" si="30"/>
        <v>62.987570168404169</v>
      </c>
      <c r="L90" s="160">
        <f t="shared" si="31"/>
        <v>16.5</v>
      </c>
      <c r="M90" s="160">
        <f t="shared" si="32"/>
        <v>15</v>
      </c>
      <c r="N90" s="160">
        <f t="shared" si="33"/>
        <v>21.668999999999997</v>
      </c>
      <c r="O90" s="160">
        <f t="shared" si="34"/>
        <v>32.549999999999997</v>
      </c>
      <c r="P90" s="160">
        <f t="shared" si="35"/>
        <v>62.5</v>
      </c>
      <c r="Q90" s="160">
        <f t="shared" si="36"/>
        <v>42.328285084202079</v>
      </c>
      <c r="R90" s="160">
        <f t="shared" si="37"/>
        <v>24.524999999999999</v>
      </c>
      <c r="S90" s="160">
        <f t="shared" si="38"/>
        <v>37.975000000000001</v>
      </c>
      <c r="T90" s="160">
        <f t="shared" si="39"/>
        <v>17.803285084202081</v>
      </c>
      <c r="U90" s="160">
        <f t="shared" si="40"/>
        <v>0</v>
      </c>
    </row>
    <row r="91" spans="6:24" s="128" customFormat="1" ht="16.5" customHeight="1">
      <c r="F91" s="129"/>
      <c r="N91" s="130"/>
      <c r="O91" s="130"/>
      <c r="P91" s="130"/>
      <c r="Q91" s="130"/>
    </row>
    <row r="92" spans="6:24" s="128" customFormat="1" ht="16.5" customHeight="1">
      <c r="F92" s="129"/>
      <c r="N92" s="130"/>
      <c r="O92" s="130"/>
      <c r="P92" s="130"/>
      <c r="Q92" s="130"/>
    </row>
    <row r="93" spans="6:24" s="128" customFormat="1" ht="16.5" customHeight="1">
      <c r="F93" s="129"/>
      <c r="N93" s="130"/>
      <c r="O93" s="130"/>
      <c r="P93" s="130"/>
      <c r="Q93" s="130"/>
    </row>
    <row r="94" spans="6:24" s="128" customFormat="1" ht="16.5" customHeight="1">
      <c r="F94" s="129"/>
      <c r="N94" s="130"/>
      <c r="O94" s="130"/>
      <c r="P94" s="130"/>
      <c r="Q94" s="130"/>
    </row>
    <row r="95" spans="6:24" s="128" customFormat="1" ht="16.5" customHeight="1">
      <c r="F95" s="129"/>
      <c r="N95" s="130"/>
      <c r="O95" s="130"/>
      <c r="P95" s="130"/>
      <c r="Q95" s="130"/>
    </row>
    <row r="96" spans="6:24" s="128" customFormat="1" ht="16.5" customHeight="1">
      <c r="F96" s="129"/>
      <c r="N96" s="130"/>
      <c r="O96" s="130"/>
      <c r="P96" s="130"/>
      <c r="Q96" s="130"/>
    </row>
    <row r="97" spans="1:22" s="128" customFormat="1" ht="16.5" customHeight="1">
      <c r="F97" s="129"/>
      <c r="N97" s="130"/>
      <c r="O97" s="130"/>
      <c r="P97" s="130"/>
      <c r="Q97" s="130"/>
    </row>
    <row r="98" spans="1:22" s="128" customFormat="1" ht="16.5" customHeight="1">
      <c r="F98" s="129"/>
      <c r="N98" s="130"/>
      <c r="O98" s="130"/>
      <c r="P98" s="130"/>
      <c r="Q98" s="130"/>
    </row>
    <row r="99" spans="1:22" s="128" customFormat="1" ht="16.5" customHeight="1">
      <c r="F99" s="129"/>
      <c r="N99" s="130"/>
      <c r="O99" s="130"/>
      <c r="P99" s="130"/>
      <c r="Q99" s="130"/>
    </row>
    <row r="100" spans="1:22" s="184" customFormat="1" ht="16.5" customHeight="1">
      <c r="A100" s="183"/>
      <c r="F100" s="185"/>
      <c r="N100" s="186"/>
      <c r="O100" s="186"/>
      <c r="P100" s="186"/>
      <c r="Q100" s="186"/>
      <c r="V100" s="183"/>
    </row>
    <row r="101" spans="1:22" ht="16.5" customHeight="1"/>
  </sheetData>
  <sheetProtection algorithmName="SHA-512" hashValue="fKatBWcM7y//NZdSB2ArUVY6yOF7Ex5COEUAyM8nCp0kG5i/LeSIpOmf3V6KTewdhoJmfKTSATRgrs8zGh+ezw==" saltValue="3KEUMc/aCQQK8PwN6DPZvw==" spinCount="100000" sheet="1" objects="1" scenarios="1"/>
  <sortState xmlns:xlrd2="http://schemas.microsoft.com/office/spreadsheetml/2017/richdata2" ref="I60:I83">
    <sortCondition ref="I60:I83"/>
  </sortState>
  <mergeCells count="46">
    <mergeCell ref="F68:G79"/>
    <mergeCell ref="S57:U57"/>
    <mergeCell ref="R32:S32"/>
    <mergeCell ref="J30:L30"/>
    <mergeCell ref="C14:N15"/>
    <mergeCell ref="N28:O28"/>
    <mergeCell ref="B28:E28"/>
    <mergeCell ref="J28:L28"/>
    <mergeCell ref="B29:E29"/>
    <mergeCell ref="G29:H29"/>
    <mergeCell ref="B30:E30"/>
    <mergeCell ref="N26:S26"/>
    <mergeCell ref="C17:U19"/>
    <mergeCell ref="P13:U15"/>
    <mergeCell ref="B27:E27"/>
    <mergeCell ref="P28:Q28"/>
    <mergeCell ref="P27:Q27"/>
    <mergeCell ref="R27:S27"/>
    <mergeCell ref="R29:S29"/>
    <mergeCell ref="N27:O27"/>
    <mergeCell ref="B1:U1"/>
    <mergeCell ref="R28:S28"/>
    <mergeCell ref="N29:O29"/>
    <mergeCell ref="P29:Q29"/>
    <mergeCell ref="D2:U2"/>
    <mergeCell ref="C9:F9"/>
    <mergeCell ref="G22:U22"/>
    <mergeCell ref="C3:F3"/>
    <mergeCell ref="G3:H3"/>
    <mergeCell ref="B26:F26"/>
    <mergeCell ref="J57:L57"/>
    <mergeCell ref="M57:O57"/>
    <mergeCell ref="P57:R57"/>
    <mergeCell ref="K39:O39"/>
    <mergeCell ref="B31:F31"/>
    <mergeCell ref="N35:P35"/>
    <mergeCell ref="B36:B39"/>
    <mergeCell ref="C36:C39"/>
    <mergeCell ref="N34:P34"/>
    <mergeCell ref="B32:F32"/>
    <mergeCell ref="B33:E33"/>
    <mergeCell ref="D36:I36"/>
    <mergeCell ref="N36:P36"/>
    <mergeCell ref="N32:P33"/>
    <mergeCell ref="B34:I34"/>
    <mergeCell ref="Q32:Q33"/>
  </mergeCells>
  <phoneticPr fontId="10" type="noConversion"/>
  <dataValidations count="2">
    <dataValidation type="list" allowBlank="1" showInputMessage="1" showErrorMessage="1" sqref="G4 G3:H3" xr:uid="{8BDFA004-D0D1-44C0-87D8-B092E6AB7510}">
      <formula1>$K$26:$L$26</formula1>
    </dataValidation>
    <dataValidation type="list" allowBlank="1" showInputMessage="1" showErrorMessage="1" sqref="D2:U2" xr:uid="{53DF9EE9-62CA-41FE-9115-E7E9A01B5887}">
      <formula1>$P$40:$P$49</formula1>
    </dataValidation>
  </dataValidations>
  <hyperlinks>
    <hyperlink ref="G22" r:id="rId1" xr:uid="{5D084800-D008-4F17-A95F-9C71BD316BAB}"/>
    <hyperlink ref="R21" r:id="rId2" xr:uid="{2F92BA3C-D2EB-4B96-9F8C-EA7387B7B6ED}"/>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A454-3F12-463A-880F-AD5F69399F55}">
  <dimension ref="A1:Y103"/>
  <sheetViews>
    <sheetView zoomScaleNormal="100" workbookViewId="0">
      <selection activeCell="D2" sqref="D2:U2"/>
    </sheetView>
  </sheetViews>
  <sheetFormatPr defaultRowHeight="15"/>
  <cols>
    <col min="1" max="1" width="2.85546875" style="1" customWidth="1"/>
    <col min="2" max="2" width="7" customWidth="1"/>
    <col min="3" max="3" width="10.28515625" customWidth="1"/>
    <col min="4" max="4" width="6.85546875" customWidth="1"/>
    <col min="6" max="6" width="11" style="2" customWidth="1"/>
    <col min="7" max="7" width="8.5703125" customWidth="1"/>
    <col min="8" max="8" width="9.140625" customWidth="1"/>
    <col min="9" max="9" width="7.42578125" customWidth="1"/>
    <col min="10" max="10" width="12.5703125" customWidth="1"/>
    <col min="11" max="11" width="9.5703125" bestFit="1" customWidth="1"/>
    <col min="13" max="13" width="7.7109375" customWidth="1"/>
    <col min="14" max="14" width="8" style="4" customWidth="1"/>
    <col min="15" max="15" width="9.28515625" style="4" customWidth="1"/>
    <col min="16" max="17" width="9.140625" style="4"/>
    <col min="21" max="21" width="18.28515625" customWidth="1"/>
    <col min="22" max="22" width="2.42578125" style="1" customWidth="1"/>
  </cols>
  <sheetData>
    <row r="1" spans="1:22" s="8" customFormat="1" ht="22.5" customHeight="1">
      <c r="A1" s="308" t="str">
        <f>"CASE "&amp;B3&amp;": "&amp;VLOOKUP(B3,Rec_Table,5,FALSE)</f>
        <v xml:space="preserve">CASE R11e: Asymptomatic individuals with a family history of VTE and/or thrombophilia and a minor transient risk factor for VTE </v>
      </c>
      <c r="B1" s="308"/>
      <c r="C1" s="308"/>
      <c r="D1" s="308"/>
      <c r="E1" s="308"/>
      <c r="F1" s="308"/>
      <c r="G1" s="308"/>
      <c r="H1" s="308"/>
      <c r="I1" s="308"/>
      <c r="J1" s="308"/>
      <c r="K1" s="308"/>
      <c r="L1" s="308"/>
      <c r="M1" s="308"/>
      <c r="N1" s="308"/>
      <c r="O1" s="308"/>
      <c r="P1" s="308"/>
      <c r="Q1" s="308"/>
      <c r="R1" s="308"/>
      <c r="S1" s="308"/>
      <c r="T1" s="308"/>
      <c r="U1" s="309"/>
      <c r="V1" s="1"/>
    </row>
    <row r="2" spans="1:22" s="8" customFormat="1" ht="15" customHeight="1" thickBot="1">
      <c r="A2" s="1"/>
      <c r="C2" s="13" t="s">
        <v>130</v>
      </c>
      <c r="D2" s="280" t="s">
        <v>238</v>
      </c>
      <c r="E2" s="280"/>
      <c r="F2" s="280"/>
      <c r="G2" s="280"/>
      <c r="H2" s="280"/>
      <c r="I2" s="280"/>
      <c r="J2" s="280"/>
      <c r="K2" s="280"/>
      <c r="L2" s="280"/>
      <c r="M2" s="280"/>
      <c r="N2" s="280"/>
      <c r="O2" s="280"/>
      <c r="P2" s="280"/>
      <c r="Q2" s="280"/>
      <c r="R2" s="280"/>
      <c r="S2" s="280"/>
      <c r="T2" s="280"/>
      <c r="U2" s="280"/>
      <c r="V2" s="1"/>
    </row>
    <row r="3" spans="1:22" s="8" customFormat="1" ht="15" customHeight="1" thickBot="1">
      <c r="A3" s="1"/>
      <c r="B3" s="28" t="str">
        <f>LEFT(D2,SEARCH(":",D2)-1)</f>
        <v>R11e</v>
      </c>
      <c r="C3" s="310" t="str">
        <f>" We assume that the risk of major bleeding is "&amp;K27&amp;" ("&amp;ROUND(100*K27,VLOOKUP(B3,INPUT_Table,9,FALSE))&amp;"%) and the risk for VTE for a patient not on treatment is "&amp;F28&amp;" ("&amp;ROUND(100*F28,VLOOKUP(B3,INPUT_Table,9,FALSE))&amp;"%)."</f>
        <v xml:space="preserve"> We assume that the risk of major bleeding is 0.004 (0.4%) and the risk for VTE for a patient not on treatment is 0.05 (5%).</v>
      </c>
      <c r="D3" s="311"/>
      <c r="E3" s="311"/>
      <c r="F3" s="311"/>
      <c r="G3" s="311"/>
      <c r="H3" s="311"/>
      <c r="I3" s="311"/>
      <c r="J3" s="311"/>
      <c r="K3" s="311"/>
      <c r="L3" s="311"/>
      <c r="M3" s="311"/>
      <c r="N3" s="311"/>
      <c r="O3" s="311"/>
      <c r="P3" s="311"/>
      <c r="Q3" s="311"/>
      <c r="R3" s="311"/>
      <c r="S3" s="311"/>
      <c r="T3" s="311"/>
      <c r="U3" s="312"/>
      <c r="V3" s="1"/>
    </row>
    <row r="4" spans="1:22" s="8" customFormat="1" ht="6" customHeight="1" thickBot="1">
      <c r="A4" s="1"/>
      <c r="B4" s="13"/>
      <c r="C4" s="29"/>
      <c r="D4" s="29"/>
      <c r="E4" s="29"/>
      <c r="F4" s="29"/>
      <c r="G4" s="14"/>
      <c r="H4" s="14"/>
      <c r="I4" s="13"/>
      <c r="J4" s="13"/>
      <c r="K4" s="13"/>
      <c r="L4" s="13"/>
      <c r="M4" s="13"/>
      <c r="N4" s="12"/>
      <c r="O4" s="12"/>
      <c r="P4" s="12"/>
      <c r="Q4" s="10"/>
      <c r="V4" s="1"/>
    </row>
    <row r="5" spans="1:22" s="8" customFormat="1" ht="15" customHeight="1">
      <c r="A5" s="1"/>
      <c r="B5" s="30" t="s">
        <v>134</v>
      </c>
      <c r="C5" s="31" t="str">
        <f>"When not testing "&amp;F27&amp;" patients for thrombophilia and NOT treating any of them,"</f>
        <v>When not testing 1000 patients for thrombophilia and NOT treating any of them,</v>
      </c>
      <c r="D5" s="32"/>
      <c r="E5" s="32"/>
      <c r="F5" s="33"/>
      <c r="G5" s="31"/>
      <c r="H5" s="31"/>
      <c r="I5" s="31"/>
      <c r="J5" s="31"/>
      <c r="K5" s="31" t="str">
        <f>ROUND(Q34,VLOOKUP(B3,INPUT_Table,9,FALSE))&amp;" VTE recurrences and "</f>
        <v xml:space="preserve">50 VTE recurrences and </v>
      </c>
      <c r="L5" s="31"/>
      <c r="M5" s="31"/>
      <c r="N5" s="45" t="str">
        <f>ROUND(R34,VLOOKUP(B3,INPUT_Table,9,FALSE))&amp;" major bleedings will occur per year."</f>
        <v>4 major bleedings will occur per year.</v>
      </c>
      <c r="O5" s="25"/>
      <c r="P5" s="25"/>
      <c r="Q5" s="34"/>
      <c r="R5" s="32"/>
      <c r="S5" s="32"/>
      <c r="T5" s="32"/>
      <c r="U5" s="35"/>
      <c r="V5" s="1"/>
    </row>
    <row r="6" spans="1:22" s="8" customFormat="1" ht="15" customHeight="1">
      <c r="A6" s="1"/>
      <c r="B6" s="36" t="s">
        <v>135</v>
      </c>
      <c r="C6" s="13" t="str">
        <f>"When testing "&amp;F27&amp;" patients and only treating the "&amp;G31&amp;" positives,  "</f>
        <v xml:space="preserve">When testing 1000 patients and only treating the 500 positives,  </v>
      </c>
      <c r="F6" s="14"/>
      <c r="G6" s="13"/>
      <c r="H6" s="13"/>
      <c r="I6" s="13"/>
      <c r="J6" s="13"/>
      <c r="K6" s="13" t="str">
        <f>ROUND(Q35,VLOOKUP(B3,INPUT_Table,9,FALSE))&amp;" VTE recurrences and "</f>
        <v xml:space="preserve">30.3 VTE recurrences and </v>
      </c>
      <c r="L6" s="13"/>
      <c r="M6" s="13"/>
      <c r="N6" s="46" t="str">
        <f>ROUND(R35,VLOOKUP(B3,INPUT_Table,9,FALSE))&amp;" major bleedings  will occur per year."</f>
        <v>6.18 major bleedings  will occur per year.</v>
      </c>
      <c r="O6" s="12"/>
      <c r="P6" s="12"/>
      <c r="Q6" s="10"/>
      <c r="U6" s="37"/>
      <c r="V6" s="1"/>
    </row>
    <row r="7" spans="1:22" s="8" customFormat="1" ht="15" customHeight="1" thickBot="1">
      <c r="A7" s="1"/>
      <c r="B7" s="38" t="s">
        <v>136</v>
      </c>
      <c r="C7" s="39" t="str">
        <f>"When not testing "&amp;F27&amp;" patients for thrombophilia and treating all of them,  "</f>
        <v xml:space="preserve">When not testing 1000 patients for thrombophilia and treating all of them,  </v>
      </c>
      <c r="D7" s="40"/>
      <c r="E7" s="40"/>
      <c r="F7" s="41"/>
      <c r="G7" s="39"/>
      <c r="H7" s="39"/>
      <c r="I7" s="39"/>
      <c r="J7" s="39"/>
      <c r="K7" s="39" t="str">
        <f>ROUND(Q36,VLOOKUP(B3,INPUT_Table,9,FALSE))&amp;" VTE recurrences  and "</f>
        <v xml:space="preserve">27 VTE recurrences  and </v>
      </c>
      <c r="L7" s="39"/>
      <c r="M7" s="39"/>
      <c r="N7" s="47" t="str">
        <f>ROUND(R36,VLOOKUP(B3,INPUT_Table,9,FALSE))&amp;" major bleedings will occur per year."</f>
        <v>8.36 major bleedings will occur per year.</v>
      </c>
      <c r="O7" s="26"/>
      <c r="P7" s="26"/>
      <c r="Q7" s="42"/>
      <c r="R7" s="40"/>
      <c r="S7" s="40"/>
      <c r="T7" s="40"/>
      <c r="U7" s="43"/>
      <c r="V7" s="1"/>
    </row>
    <row r="8" spans="1:22" s="8" customFormat="1" ht="21" customHeight="1">
      <c r="A8" s="1"/>
      <c r="B8" s="13" t="s">
        <v>137</v>
      </c>
      <c r="C8" s="13"/>
      <c r="E8" s="49" t="str">
        <f>IF(P27&lt;0,"Note: If the threshold values are negative, decision theory states that the treatment is better for any risk of VTE","")</f>
        <v/>
      </c>
      <c r="F8" s="14"/>
      <c r="G8" s="13"/>
      <c r="H8" s="13"/>
      <c r="I8" s="13"/>
      <c r="J8" s="13"/>
      <c r="K8" s="13"/>
      <c r="L8" s="13"/>
      <c r="M8" s="13"/>
      <c r="N8" s="12"/>
      <c r="O8" s="12"/>
      <c r="P8" s="12"/>
      <c r="Q8" s="10"/>
      <c r="V8" s="1"/>
    </row>
    <row r="9" spans="1:22" s="55" customFormat="1" ht="14.85" customHeight="1">
      <c r="A9" s="59"/>
      <c r="B9" s="56"/>
      <c r="C9" s="281" t="s">
        <v>138</v>
      </c>
      <c r="D9" s="281"/>
      <c r="E9" s="281"/>
      <c r="F9" s="282"/>
      <c r="G9" s="54" t="s">
        <v>139</v>
      </c>
      <c r="H9" s="127">
        <v>1</v>
      </c>
      <c r="I9" s="56"/>
      <c r="J9" s="56"/>
      <c r="K9" s="13" t="str">
        <f>"Acceptable regret (# of cases per "&amp;F27&amp;")"</f>
        <v>Acceptable regret (# of cases per 1000)</v>
      </c>
      <c r="L9" s="13"/>
      <c r="M9" s="13"/>
      <c r="N9" s="12"/>
      <c r="O9" s="12" t="s">
        <v>140</v>
      </c>
      <c r="P9" s="127">
        <v>5</v>
      </c>
      <c r="Q9" s="10"/>
      <c r="V9" s="59"/>
    </row>
    <row r="10" spans="1:22" s="8" customFormat="1" ht="15" customHeight="1">
      <c r="A10" s="1"/>
      <c r="B10" s="29" t="s">
        <v>141</v>
      </c>
      <c r="C10" s="13" t="str">
        <f>"If the risk for VTE is below the testing threshold ("&amp;ROUND(100*N31,VLOOKUP(B3,INPUT_Table,9,FALSE))&amp;"%), the best strategy is to not to test and not to treat."</f>
        <v>If the risk for VTE is below the testing threshold (0.55%), the best strategy is to not to test and not to treat.</v>
      </c>
      <c r="F10" s="14"/>
      <c r="G10" s="13"/>
      <c r="H10" s="13"/>
      <c r="I10" s="13"/>
      <c r="J10" s="13"/>
      <c r="K10" s="13"/>
      <c r="L10" s="13"/>
      <c r="M10" s="13"/>
      <c r="N10" s="12"/>
      <c r="O10" s="12"/>
      <c r="P10" s="12"/>
      <c r="Q10" s="10"/>
      <c r="V10" s="1"/>
    </row>
    <row r="11" spans="1:22" s="8" customFormat="1" ht="15" customHeight="1">
      <c r="A11" s="1"/>
      <c r="B11" s="29" t="s">
        <v>142</v>
      </c>
      <c r="C11" s="13" t="str">
        <f>"If the risk for VTE is between the testing threshold ("&amp;ROUND(100*N31,VLOOKUP(B3,INPUT_Table,9,FALSE))&amp;"%) and the treatment threshold ("&amp;ROUND(100*R31,VLOOKUP(B3,INPUT_Table,9,FALSE))&amp;"%), the best strategy  is to test and treat if the test is positive."</f>
        <v>If the risk for VTE is between the testing threshold (0.55%) and the treatment threshold (3.31%), the best strategy  is to test and treat if the test is positive.</v>
      </c>
      <c r="E11" s="13"/>
      <c r="F11" s="14"/>
      <c r="G11" s="13"/>
      <c r="H11" s="13"/>
      <c r="I11" s="13"/>
      <c r="J11" s="13"/>
      <c r="K11" s="13"/>
      <c r="L11" s="13"/>
      <c r="M11" s="13"/>
      <c r="N11" s="12"/>
      <c r="O11" s="12"/>
      <c r="P11" s="12"/>
      <c r="Q11" s="10"/>
      <c r="V11" s="1"/>
    </row>
    <row r="12" spans="1:22" s="8" customFormat="1" ht="15" customHeight="1" thickBot="1">
      <c r="A12" s="1"/>
      <c r="B12" s="29" t="s">
        <v>143</v>
      </c>
      <c r="C12" s="13" t="str">
        <f>"If the risk for VTE is above the treatment threshold ("&amp;ROUND(100*R31,VLOOKUP(B3,INPUT_Table,9,FALSE))&amp;"%), the best strategy is to not to test and to treat."</f>
        <v>If the risk for VTE is above the treatment threshold (3.31%), the best strategy is to not to test and to treat.</v>
      </c>
      <c r="E12" s="13"/>
      <c r="F12" s="14"/>
      <c r="G12" s="13"/>
      <c r="H12" s="13"/>
      <c r="I12" s="13"/>
      <c r="J12" s="13"/>
      <c r="K12" s="13"/>
      <c r="L12" s="13"/>
      <c r="M12" s="13"/>
      <c r="N12" s="12"/>
      <c r="O12" s="12"/>
      <c r="P12" s="12"/>
      <c r="Q12" s="10"/>
      <c r="V12" s="1"/>
    </row>
    <row r="13" spans="1:22" s="9" customFormat="1" ht="15" customHeight="1" thickBot="1">
      <c r="A13" s="57"/>
      <c r="B13" s="44" t="s">
        <v>144</v>
      </c>
      <c r="C13" s="29"/>
      <c r="D13" s="13"/>
      <c r="E13" s="13"/>
      <c r="F13" s="13"/>
      <c r="G13" s="13"/>
      <c r="H13" s="13"/>
      <c r="I13" s="13"/>
      <c r="J13" s="13"/>
      <c r="K13" s="13"/>
      <c r="L13" s="13"/>
      <c r="M13" s="13"/>
      <c r="N13" s="13"/>
      <c r="O13" s="13"/>
      <c r="P13" s="298" t="str">
        <f>IF(IF(F28&lt;N27,"NoRx",IF(F28&gt;R27,"Rx","Test"))=VLOOKUP(B3,Rec_Table,4,FALSE), "Decision theory (EUT) agrees with ASH thrombophilia guidelines.","Decision theory (EUT) disagrees with ASH thrombophilia guidelines!")&amp; " According to acceptable regret theory the acceptable strateg"&amp;IF(W38&gt;1,"ies are: ","y is: ")&amp;IF(S69,S70,"")&amp;" "&amp;IF(T69,T70,"")&amp;" "&amp;IF(U69,U70,"")&amp;"."</f>
        <v>Decision theory (EUT) disagrees with ASH thrombophilia guidelines! According to acceptable regret theory the acceptable strategies are:  Test Rx.</v>
      </c>
      <c r="Q13" s="299"/>
      <c r="R13" s="299"/>
      <c r="S13" s="299"/>
      <c r="T13" s="299"/>
      <c r="U13" s="300"/>
      <c r="V13" s="57"/>
    </row>
    <row r="14" spans="1:22" s="9" customFormat="1" ht="15" customHeight="1">
      <c r="A14" s="57"/>
      <c r="B14" s="13"/>
      <c r="C14" s="288" t="str">
        <f>"Since the overall risk for VTE recurrence ("&amp;ROUND(100*F28,2)&amp;"%) is "&amp;IF(F28&lt;N27,"less than testing threshold, the best strategy is to not to test and recommend discontinuing  treatment.",IF(F28&gt;R27,"above the treatment threshold, the best strategy is to not to test and recommend treatment to all patients.","between the testing and treatment threshold, the best strategy is to test and treat if the test is positive."))</f>
        <v>Since the overall risk for VTE recurrence (5%) is above the treatment threshold, the best strategy is to not to test and recommend treatment to all patients.</v>
      </c>
      <c r="D14" s="289"/>
      <c r="E14" s="289"/>
      <c r="F14" s="289"/>
      <c r="G14" s="289"/>
      <c r="H14" s="289"/>
      <c r="I14" s="289"/>
      <c r="J14" s="289"/>
      <c r="K14" s="289"/>
      <c r="L14" s="289"/>
      <c r="M14" s="289"/>
      <c r="N14" s="290"/>
      <c r="O14" s="13"/>
      <c r="P14" s="301"/>
      <c r="Q14" s="302"/>
      <c r="R14" s="302"/>
      <c r="S14" s="302"/>
      <c r="T14" s="302"/>
      <c r="U14" s="303"/>
      <c r="V14" s="57"/>
    </row>
    <row r="15" spans="1:22" s="9" customFormat="1" ht="15" customHeight="1" thickBot="1">
      <c r="A15" s="57"/>
      <c r="B15" s="13"/>
      <c r="C15" s="291"/>
      <c r="D15" s="292"/>
      <c r="E15" s="292"/>
      <c r="F15" s="292"/>
      <c r="G15" s="292"/>
      <c r="H15" s="292"/>
      <c r="I15" s="292"/>
      <c r="J15" s="292"/>
      <c r="K15" s="292"/>
      <c r="L15" s="292"/>
      <c r="M15" s="292"/>
      <c r="N15" s="293"/>
      <c r="O15" s="44"/>
      <c r="P15" s="304"/>
      <c r="Q15" s="305"/>
      <c r="R15" s="305"/>
      <c r="S15" s="305"/>
      <c r="T15" s="305"/>
      <c r="U15" s="306"/>
      <c r="V15" s="57"/>
    </row>
    <row r="16" spans="1:22" s="8" customFormat="1" ht="21" customHeight="1" thickBot="1">
      <c r="A16" s="1"/>
      <c r="B16" s="13" t="s">
        <v>145</v>
      </c>
      <c r="D16" s="13"/>
      <c r="E16" s="13"/>
      <c r="F16" s="14"/>
      <c r="G16" s="13"/>
      <c r="H16" s="13"/>
      <c r="I16" s="13"/>
      <c r="J16" s="13"/>
      <c r="K16" s="13"/>
      <c r="L16" s="13"/>
      <c r="M16" s="13"/>
      <c r="N16" s="12"/>
      <c r="O16" s="12"/>
      <c r="V16" s="1"/>
    </row>
    <row r="17" spans="1:23" s="8" customFormat="1" ht="15.75" customHeight="1">
      <c r="A17" s="1"/>
      <c r="B17" s="13"/>
      <c r="C17" s="288" t="str">
        <f>VLOOKUP(B3,Rec_Table,3,FALSE)</f>
        <v>For individuals with a family history of VTE and known protein S deficiency (high-risk thrombophilia) who have a minor provoking risk factor for VTE, the ASH guideline panel suggests testing for the known familial thrombophilia. The panel suggests thromboprophylaxis in individuals with thrombophilia and no thromboprophylaxis in individuals without thrombophilia (conditional recommendation based on very low certainty in the evidence about effects)</v>
      </c>
      <c r="D17" s="289"/>
      <c r="E17" s="289"/>
      <c r="F17" s="289"/>
      <c r="G17" s="289"/>
      <c r="H17" s="289"/>
      <c r="I17" s="289"/>
      <c r="J17" s="289"/>
      <c r="K17" s="289"/>
      <c r="L17" s="289"/>
      <c r="M17" s="289"/>
      <c r="N17" s="289"/>
      <c r="O17" s="289"/>
      <c r="P17" s="289"/>
      <c r="Q17" s="289"/>
      <c r="R17" s="289"/>
      <c r="S17" s="289"/>
      <c r="T17" s="289"/>
      <c r="U17" s="290"/>
      <c r="V17" s="1"/>
    </row>
    <row r="18" spans="1:23" s="8" customFormat="1" ht="15.75" customHeight="1">
      <c r="A18" s="1"/>
      <c r="B18" s="13"/>
      <c r="C18" s="295"/>
      <c r="D18" s="296"/>
      <c r="E18" s="296"/>
      <c r="F18" s="296"/>
      <c r="G18" s="296"/>
      <c r="H18" s="296"/>
      <c r="I18" s="296"/>
      <c r="J18" s="296"/>
      <c r="K18" s="296"/>
      <c r="L18" s="296"/>
      <c r="M18" s="296"/>
      <c r="N18" s="296"/>
      <c r="O18" s="296"/>
      <c r="P18" s="296"/>
      <c r="Q18" s="296"/>
      <c r="R18" s="296"/>
      <c r="S18" s="296"/>
      <c r="T18" s="296"/>
      <c r="U18" s="297"/>
      <c r="V18" s="1"/>
    </row>
    <row r="19" spans="1:23" s="8" customFormat="1" ht="44.25" customHeight="1" thickBot="1">
      <c r="A19" s="1"/>
      <c r="B19" s="13"/>
      <c r="C19" s="291"/>
      <c r="D19" s="292"/>
      <c r="E19" s="292"/>
      <c r="F19" s="292"/>
      <c r="G19" s="292"/>
      <c r="H19" s="292"/>
      <c r="I19" s="292"/>
      <c r="J19" s="292"/>
      <c r="K19" s="292"/>
      <c r="L19" s="292"/>
      <c r="M19" s="292"/>
      <c r="N19" s="292"/>
      <c r="O19" s="292"/>
      <c r="P19" s="292"/>
      <c r="Q19" s="292"/>
      <c r="R19" s="292"/>
      <c r="S19" s="292"/>
      <c r="T19" s="292"/>
      <c r="U19" s="293"/>
      <c r="V19" s="1"/>
    </row>
    <row r="20" spans="1:23" s="8" customFormat="1" ht="5.25" customHeight="1">
      <c r="A20" s="1"/>
      <c r="B20" s="13"/>
      <c r="C20" s="17"/>
      <c r="D20" s="17"/>
      <c r="E20" s="17"/>
      <c r="F20" s="17"/>
      <c r="G20" s="17"/>
      <c r="H20" s="17"/>
      <c r="I20" s="17"/>
      <c r="J20" s="17"/>
      <c r="K20" s="17"/>
      <c r="L20" s="17"/>
      <c r="M20" s="17"/>
      <c r="N20" s="17"/>
      <c r="O20" s="16"/>
      <c r="P20" s="16"/>
      <c r="Q20" s="16"/>
      <c r="R20" s="16"/>
      <c r="S20" s="16"/>
      <c r="V20" s="1"/>
    </row>
    <row r="21" spans="1:23" s="18" customFormat="1" ht="13.5">
      <c r="A21" s="58"/>
      <c r="C21" s="19" t="s">
        <v>146</v>
      </c>
      <c r="D21" s="20"/>
      <c r="E21" s="20"/>
      <c r="F21" s="20"/>
      <c r="G21" s="20"/>
      <c r="H21" s="20"/>
      <c r="I21" s="20"/>
      <c r="J21" s="20"/>
      <c r="K21" s="20"/>
      <c r="L21" s="20"/>
      <c r="M21" s="20"/>
      <c r="N21" s="20"/>
      <c r="O21" s="21"/>
      <c r="P21" s="21"/>
      <c r="Q21" s="21"/>
      <c r="R21" s="95" t="s">
        <v>33</v>
      </c>
      <c r="S21" s="21"/>
      <c r="V21" s="58"/>
    </row>
    <row r="22" spans="1:23" s="18" customFormat="1" ht="13.5">
      <c r="A22" s="58"/>
      <c r="C22" s="19" t="s">
        <v>147</v>
      </c>
      <c r="D22" s="20"/>
      <c r="E22" s="20"/>
      <c r="F22" s="20"/>
      <c r="G22" s="283" t="s">
        <v>148</v>
      </c>
      <c r="H22" s="283"/>
      <c r="I22" s="283"/>
      <c r="J22" s="283"/>
      <c r="K22" s="283"/>
      <c r="L22" s="283"/>
      <c r="M22" s="283"/>
      <c r="N22" s="283"/>
      <c r="O22" s="283"/>
      <c r="P22" s="283"/>
      <c r="Q22" s="283"/>
      <c r="R22" s="283"/>
      <c r="S22" s="283"/>
      <c r="T22" s="283"/>
      <c r="U22" s="283"/>
      <c r="V22" s="58"/>
    </row>
    <row r="23" spans="1:23" s="8" customFormat="1" ht="5.25" customHeight="1">
      <c r="A23" s="1"/>
      <c r="C23" s="10"/>
      <c r="D23" s="10"/>
      <c r="E23" s="10"/>
      <c r="F23" s="10"/>
      <c r="G23" s="10"/>
      <c r="H23" s="11"/>
      <c r="I23" s="11"/>
      <c r="J23" s="11"/>
      <c r="K23" s="10"/>
      <c r="L23" s="10"/>
      <c r="M23" s="10"/>
      <c r="N23" s="10"/>
      <c r="O23" s="10"/>
      <c r="P23" s="10"/>
      <c r="Q23" s="10"/>
      <c r="R23" s="10"/>
      <c r="V23" s="1"/>
    </row>
    <row r="24" spans="1:23" s="1" customFormat="1" ht="9" customHeight="1">
      <c r="F24" s="6"/>
      <c r="N24" s="7"/>
      <c r="O24" s="7"/>
      <c r="P24" s="7"/>
      <c r="Q24" s="7"/>
    </row>
    <row r="25" spans="1:23" ht="15.75" customHeight="1">
      <c r="B25" s="98" t="s">
        <v>149</v>
      </c>
      <c r="O25" s="15"/>
      <c r="P25" s="15"/>
      <c r="Q25" s="15"/>
      <c r="R25" s="15"/>
      <c r="S25" s="15"/>
      <c r="T25" s="15"/>
      <c r="U25" s="15"/>
      <c r="V25" s="59"/>
      <c r="W25" s="15"/>
    </row>
    <row r="26" spans="1:23" s="128" customFormat="1" ht="15.75" customHeight="1">
      <c r="B26" s="271" t="s">
        <v>150</v>
      </c>
      <c r="C26" s="271"/>
      <c r="D26" s="271"/>
      <c r="E26" s="271"/>
      <c r="F26" s="271"/>
      <c r="K26" s="130" t="s">
        <v>180</v>
      </c>
      <c r="L26" s="130"/>
      <c r="M26" s="130"/>
      <c r="N26" s="272" t="s">
        <v>153</v>
      </c>
      <c r="O26" s="272"/>
      <c r="P26" s="272"/>
      <c r="Q26" s="272"/>
      <c r="R26" s="272"/>
      <c r="S26" s="272"/>
      <c r="T26" s="130"/>
      <c r="U26" s="130"/>
      <c r="V26" s="130"/>
    </row>
    <row r="27" spans="1:23" s="128" customFormat="1" ht="15.75" customHeight="1">
      <c r="B27" s="274" t="s">
        <v>154</v>
      </c>
      <c r="C27" s="274"/>
      <c r="D27" s="274"/>
      <c r="E27" s="274"/>
      <c r="F27" s="129">
        <v>1000</v>
      </c>
      <c r="K27" s="129">
        <f>VLOOKUP(B3,INPUT_Table,6,FALSE)</f>
        <v>4.0000000000000001E-3</v>
      </c>
      <c r="L27" s="129"/>
      <c r="N27" s="276">
        <f>N31</f>
        <v>5.5316271630071242E-3</v>
      </c>
      <c r="O27" s="276"/>
      <c r="P27" s="276">
        <f>P31</f>
        <v>9.4782608695652172E-3</v>
      </c>
      <c r="Q27" s="276"/>
      <c r="R27" s="276">
        <f>R31</f>
        <v>3.3079130434782611E-2</v>
      </c>
      <c r="S27" s="276"/>
    </row>
    <row r="28" spans="1:23" s="128" customFormat="1" ht="15.75" customHeight="1">
      <c r="B28" s="274" t="s">
        <v>155</v>
      </c>
      <c r="C28" s="274"/>
      <c r="D28" s="274"/>
      <c r="E28" s="274"/>
      <c r="F28" s="129">
        <f>VLOOKUP(B3,INPUT_Table,2,FALSE)</f>
        <v>0.05</v>
      </c>
      <c r="J28" s="271" t="s">
        <v>156</v>
      </c>
      <c r="K28" s="271"/>
      <c r="L28" s="271"/>
      <c r="N28" s="272" t="s">
        <v>157</v>
      </c>
      <c r="O28" s="272"/>
      <c r="P28" s="272" t="s">
        <v>158</v>
      </c>
      <c r="Q28" s="272"/>
      <c r="R28" s="272" t="s">
        <v>159</v>
      </c>
      <c r="S28" s="272"/>
    </row>
    <row r="29" spans="1:23" s="128" customFormat="1" ht="15.75" customHeight="1">
      <c r="B29" s="274" t="s">
        <v>160</v>
      </c>
      <c r="C29" s="274"/>
      <c r="D29" s="274"/>
      <c r="E29" s="274"/>
      <c r="F29" s="129">
        <f>VLOOKUP(B3,INPUT_Table,3,FALSE)</f>
        <v>0.5</v>
      </c>
      <c r="G29" s="271" t="s">
        <v>161</v>
      </c>
      <c r="H29" s="271"/>
      <c r="K29" s="128" t="s">
        <v>162</v>
      </c>
      <c r="L29" s="128">
        <f>VLOOKUP(B3,INPUT_Table,8,FALSE)</f>
        <v>2.09</v>
      </c>
      <c r="N29" s="272" t="s">
        <v>163</v>
      </c>
      <c r="O29" s="272"/>
      <c r="P29" s="272" t="s">
        <v>163</v>
      </c>
      <c r="Q29" s="272"/>
      <c r="R29" s="272" t="s">
        <v>163</v>
      </c>
      <c r="S29" s="272"/>
    </row>
    <row r="30" spans="1:23" s="128" customFormat="1" ht="15.75" customHeight="1">
      <c r="B30" s="294" t="s">
        <v>164</v>
      </c>
      <c r="C30" s="294"/>
      <c r="D30" s="294"/>
      <c r="E30" s="294"/>
      <c r="F30" s="130">
        <f>VLOOKUP(B3,INPUT_Table,4,FALSE)</f>
        <v>5.98</v>
      </c>
      <c r="G30" s="130" t="s">
        <v>165</v>
      </c>
      <c r="H30" s="130" t="s">
        <v>166</v>
      </c>
      <c r="J30" s="272" t="s">
        <v>167</v>
      </c>
      <c r="K30" s="272"/>
      <c r="L30" s="272"/>
      <c r="N30" s="272"/>
      <c r="O30" s="272"/>
      <c r="P30" s="130"/>
      <c r="Q30" s="130"/>
      <c r="R30" s="130"/>
      <c r="S30" s="130"/>
    </row>
    <row r="31" spans="1:23" s="128" customFormat="1" ht="15.75" customHeight="1">
      <c r="B31" s="271" t="s">
        <v>154</v>
      </c>
      <c r="C31" s="271"/>
      <c r="D31" s="271"/>
      <c r="E31" s="271"/>
      <c r="F31" s="271"/>
      <c r="G31" s="129">
        <f>F29*F27</f>
        <v>500</v>
      </c>
      <c r="H31" s="129">
        <f>F27-G31</f>
        <v>500</v>
      </c>
      <c r="N31" s="271">
        <f>($F$30*$F$29+(1-$F$29))/$F$30*P31</f>
        <v>5.5316271630071242E-3</v>
      </c>
      <c r="O31" s="271"/>
      <c r="P31" s="307">
        <f>H9*(L29-1)*K27/(1-J34)</f>
        <v>9.4782608695652172E-3</v>
      </c>
      <c r="Q31" s="307"/>
      <c r="R31" s="271">
        <f>($F$30*$F$29+(1-$F$29))*P31</f>
        <v>3.3079130434782611E-2</v>
      </c>
      <c r="S31" s="271"/>
    </row>
    <row r="32" spans="1:23" s="128" customFormat="1" ht="15.75" customHeight="1">
      <c r="B32" s="271" t="s">
        <v>170</v>
      </c>
      <c r="C32" s="271"/>
      <c r="D32" s="271"/>
      <c r="E32" s="271"/>
      <c r="F32" s="271"/>
      <c r="G32" s="133">
        <f>H32*F30</f>
        <v>8.5673352435530092E-2</v>
      </c>
      <c r="H32" s="133">
        <f>F28*F27/(G31*F30+H31)</f>
        <v>1.4326647564469915E-2</v>
      </c>
      <c r="N32" s="272" t="s">
        <v>171</v>
      </c>
      <c r="O32" s="272"/>
      <c r="P32" s="272"/>
      <c r="Q32" s="272" t="s">
        <v>172</v>
      </c>
      <c r="R32" s="272" t="s">
        <v>163</v>
      </c>
      <c r="S32" s="272"/>
    </row>
    <row r="33" spans="2:23" s="128" customFormat="1" ht="15.75" customHeight="1">
      <c r="B33" s="274"/>
      <c r="C33" s="274"/>
      <c r="D33" s="274"/>
      <c r="E33" s="274"/>
      <c r="F33" s="129"/>
      <c r="N33" s="272"/>
      <c r="O33" s="272"/>
      <c r="P33" s="272"/>
      <c r="Q33" s="272"/>
      <c r="R33" s="130" t="s">
        <v>168</v>
      </c>
      <c r="S33" s="130" t="s">
        <v>169</v>
      </c>
    </row>
    <row r="34" spans="2:23" s="128" customFormat="1" ht="15.75" customHeight="1">
      <c r="B34" s="274" t="s">
        <v>173</v>
      </c>
      <c r="C34" s="274"/>
      <c r="D34" s="274"/>
      <c r="E34" s="274"/>
      <c r="F34" s="274"/>
      <c r="G34" s="274"/>
      <c r="H34" s="274"/>
      <c r="I34" s="274"/>
      <c r="J34" s="129">
        <f>VLOOKUP(B3,INPUT_Table,5,FALSE)</f>
        <v>0.54</v>
      </c>
      <c r="N34" s="272" t="s">
        <v>174</v>
      </c>
      <c r="O34" s="272"/>
      <c r="P34" s="272"/>
      <c r="Q34" s="128">
        <f>F28*$F$27</f>
        <v>50</v>
      </c>
      <c r="R34" s="130">
        <f>$K$27*$F$27</f>
        <v>4</v>
      </c>
      <c r="S34" s="130">
        <f>$L$27*$F$27</f>
        <v>0</v>
      </c>
    </row>
    <row r="35" spans="2:23" s="128" customFormat="1" ht="15.75" customHeight="1">
      <c r="F35" s="129"/>
      <c r="N35" s="272" t="s">
        <v>175</v>
      </c>
      <c r="O35" s="272"/>
      <c r="P35" s="272"/>
      <c r="Q35" s="128">
        <f>G32*$G$31*$J$34+H32*$H$31</f>
        <v>30.295128939828086</v>
      </c>
      <c r="R35" s="135">
        <f>$K$27*$H$31+$K$27*$L$29*$G$31</f>
        <v>6.18</v>
      </c>
      <c r="S35" s="135">
        <f>$L$27*$H$31+$L$27*$L$29*$G$31</f>
        <v>0</v>
      </c>
    </row>
    <row r="36" spans="2:23" s="128" customFormat="1" ht="15.75" customHeight="1">
      <c r="B36" s="272" t="s">
        <v>176</v>
      </c>
      <c r="C36" s="273" t="s">
        <v>177</v>
      </c>
      <c r="D36" s="275" t="s">
        <v>178</v>
      </c>
      <c r="E36" s="275"/>
      <c r="F36" s="275"/>
      <c r="G36" s="275"/>
      <c r="H36" s="275"/>
      <c r="I36" s="275"/>
      <c r="N36" s="272" t="s">
        <v>179</v>
      </c>
      <c r="O36" s="272"/>
      <c r="P36" s="272"/>
      <c r="Q36" s="128">
        <f>F28*$J$34*$F$27</f>
        <v>27.000000000000004</v>
      </c>
      <c r="R36" s="130">
        <f>$K$27*$L$29*$F$27</f>
        <v>8.36</v>
      </c>
      <c r="S36" s="130">
        <f>$L$27*$L$29*$F$27</f>
        <v>0</v>
      </c>
    </row>
    <row r="37" spans="2:23" s="128" customFormat="1" ht="15.75" customHeight="1">
      <c r="B37" s="272"/>
      <c r="C37" s="273"/>
      <c r="D37" s="137"/>
      <c r="F37" s="129"/>
      <c r="N37" s="130"/>
      <c r="O37" s="130"/>
      <c r="P37" s="130"/>
    </row>
    <row r="38" spans="2:23" s="128" customFormat="1" ht="15.75" customHeight="1">
      <c r="B38" s="272"/>
      <c r="C38" s="273"/>
      <c r="F38" s="129"/>
      <c r="N38" s="130"/>
      <c r="O38" s="130"/>
      <c r="P38" s="130"/>
      <c r="S38" s="128">
        <f>1*S69</f>
        <v>0</v>
      </c>
      <c r="T38" s="128">
        <f>1*T69</f>
        <v>1</v>
      </c>
      <c r="U38" s="128">
        <f>1*U69</f>
        <v>1</v>
      </c>
      <c r="W38" s="128">
        <f>SUM(S38:U38)</f>
        <v>2</v>
      </c>
    </row>
    <row r="39" spans="2:23" s="128" customFormat="1" ht="15.75" customHeight="1">
      <c r="B39" s="272"/>
      <c r="C39" s="273"/>
      <c r="D39" s="128" t="s">
        <v>181</v>
      </c>
      <c r="E39" s="130" t="s">
        <v>182</v>
      </c>
      <c r="F39" s="129" t="s">
        <v>183</v>
      </c>
      <c r="G39" s="272" t="s">
        <v>180</v>
      </c>
      <c r="H39" s="272"/>
      <c r="I39" s="128" t="s">
        <v>184</v>
      </c>
      <c r="J39" s="130" t="s">
        <v>185</v>
      </c>
      <c r="K39" s="271" t="s">
        <v>186</v>
      </c>
      <c r="L39" s="271"/>
      <c r="M39" s="271"/>
      <c r="N39" s="271"/>
      <c r="O39" s="271"/>
      <c r="P39" s="130"/>
    </row>
    <row r="40" spans="2:23" s="128" customFormat="1" ht="15.75" customHeight="1">
      <c r="B40" s="130" t="s">
        <v>239</v>
      </c>
      <c r="C40" s="130">
        <f>15/1000</f>
        <v>1.4999999999999999E-2</v>
      </c>
      <c r="D40" s="130">
        <v>0.5</v>
      </c>
      <c r="E40" s="139">
        <v>2.71</v>
      </c>
      <c r="F40" s="129">
        <v>0.54</v>
      </c>
      <c r="G40" s="271">
        <f>4/1000</f>
        <v>4.0000000000000001E-3</v>
      </c>
      <c r="H40" s="271"/>
      <c r="I40" s="128">
        <v>2.09</v>
      </c>
      <c r="J40" s="129">
        <v>2</v>
      </c>
      <c r="K40" s="129" t="s">
        <v>239</v>
      </c>
      <c r="L40" s="128" t="s">
        <v>240</v>
      </c>
      <c r="M40" s="132" t="s">
        <v>241</v>
      </c>
      <c r="N40" s="128" t="s">
        <v>195</v>
      </c>
      <c r="O40" s="154" t="s">
        <v>242</v>
      </c>
      <c r="P40" s="132" t="str">
        <f t="shared" ref="P40:P67" si="0">K40&amp;": "&amp;L40</f>
        <v>R11a: First-degree relatives of patients with VTE and factor V Leiden (FVL) who have a minor provoking VTE risk factor for FVL.</v>
      </c>
      <c r="Q40" s="130" t="str">
        <f t="shared" ref="Q40:Q55" si="1">LEFT(P40,SEARCH(":",P40)-1)</f>
        <v>R11a</v>
      </c>
      <c r="R40" s="132" t="s">
        <v>243</v>
      </c>
    </row>
    <row r="41" spans="2:23" s="128" customFormat="1" ht="15.75" customHeight="1">
      <c r="B41" s="130" t="s">
        <v>244</v>
      </c>
      <c r="C41" s="130">
        <f>15/1000</f>
        <v>1.4999999999999999E-2</v>
      </c>
      <c r="D41" s="130">
        <v>0.5</v>
      </c>
      <c r="E41" s="139">
        <v>2.35</v>
      </c>
      <c r="F41" s="129">
        <v>0.54</v>
      </c>
      <c r="G41" s="271">
        <f t="shared" ref="G41:G55" si="2">4/1000</f>
        <v>4.0000000000000001E-3</v>
      </c>
      <c r="H41" s="271"/>
      <c r="I41" s="128">
        <v>2.09</v>
      </c>
      <c r="J41" s="129">
        <v>2</v>
      </c>
      <c r="K41" s="129" t="s">
        <v>244</v>
      </c>
      <c r="L41" s="128" t="s">
        <v>245</v>
      </c>
      <c r="M41" s="132" t="s">
        <v>246</v>
      </c>
      <c r="N41" s="128" t="s">
        <v>195</v>
      </c>
      <c r="O41" s="154" t="s">
        <v>242</v>
      </c>
      <c r="P41" s="132" t="str">
        <f t="shared" si="0"/>
        <v>R11b: First-degree relatives of patients with VTE and prothrombin mutation (PT) who have a minor provoking VTE risk factor for PT.</v>
      </c>
      <c r="Q41" s="130" t="str">
        <f t="shared" si="1"/>
        <v>R11b</v>
      </c>
      <c r="R41" s="132" t="s">
        <v>247</v>
      </c>
    </row>
    <row r="42" spans="2:23" s="128" customFormat="1" ht="15.75" customHeight="1">
      <c r="B42" s="130" t="s">
        <v>248</v>
      </c>
      <c r="C42" s="130">
        <f>50/1000</f>
        <v>0.05</v>
      </c>
      <c r="D42" s="130">
        <v>0.5</v>
      </c>
      <c r="E42" s="139">
        <v>12.17</v>
      </c>
      <c r="F42" s="129">
        <v>0.54</v>
      </c>
      <c r="G42" s="271">
        <f t="shared" si="2"/>
        <v>4.0000000000000001E-3</v>
      </c>
      <c r="H42" s="271"/>
      <c r="I42" s="128">
        <v>2.09</v>
      </c>
      <c r="J42" s="129">
        <v>2</v>
      </c>
      <c r="K42" s="129" t="s">
        <v>248</v>
      </c>
      <c r="L42" s="128" t="s">
        <v>249</v>
      </c>
      <c r="M42" s="132" t="s">
        <v>250</v>
      </c>
      <c r="N42" s="128" t="s">
        <v>175</v>
      </c>
      <c r="O42" s="154" t="s">
        <v>242</v>
      </c>
      <c r="P42" s="132" t="str">
        <f t="shared" si="0"/>
        <v>R11c: First-degree relatives of patients with VTE and antithrombin deficiency (AT) who have a minor provoking VTE risk factor for AT.</v>
      </c>
      <c r="Q42" s="130" t="str">
        <f t="shared" si="1"/>
        <v>R11c</v>
      </c>
      <c r="R42" s="132" t="s">
        <v>251</v>
      </c>
    </row>
    <row r="43" spans="2:23" s="128" customFormat="1" ht="15.75" customHeight="1">
      <c r="B43" s="130" t="s">
        <v>252</v>
      </c>
      <c r="C43" s="130">
        <f>50/1000</f>
        <v>0.05</v>
      </c>
      <c r="D43" s="130">
        <v>0.5</v>
      </c>
      <c r="E43" s="139">
        <v>7.47</v>
      </c>
      <c r="F43" s="129">
        <v>0.54</v>
      </c>
      <c r="G43" s="271">
        <f t="shared" si="2"/>
        <v>4.0000000000000001E-3</v>
      </c>
      <c r="H43" s="271"/>
      <c r="I43" s="128">
        <v>2.09</v>
      </c>
      <c r="J43" s="129">
        <v>2</v>
      </c>
      <c r="K43" s="129" t="s">
        <v>252</v>
      </c>
      <c r="L43" s="128" t="s">
        <v>253</v>
      </c>
      <c r="M43" s="132" t="s">
        <v>254</v>
      </c>
      <c r="N43" s="128" t="s">
        <v>175</v>
      </c>
      <c r="O43" s="154" t="s">
        <v>242</v>
      </c>
      <c r="P43" s="132" t="str">
        <f t="shared" si="0"/>
        <v>R11d: First-degree relatives of patients with VTE and protein C deficiency (PC) who have a minor provoking VTE risk factor for PC.</v>
      </c>
      <c r="Q43" s="130" t="str">
        <f t="shared" si="1"/>
        <v>R11d</v>
      </c>
      <c r="R43" s="132" t="s">
        <v>255</v>
      </c>
    </row>
    <row r="44" spans="2:23" s="128" customFormat="1" ht="15.75" customHeight="1">
      <c r="B44" s="130" t="s">
        <v>256</v>
      </c>
      <c r="C44" s="130">
        <f>50/1000</f>
        <v>0.05</v>
      </c>
      <c r="D44" s="130">
        <v>0.5</v>
      </c>
      <c r="E44" s="139">
        <v>5.98</v>
      </c>
      <c r="F44" s="129">
        <v>0.54</v>
      </c>
      <c r="G44" s="271">
        <f t="shared" si="2"/>
        <v>4.0000000000000001E-3</v>
      </c>
      <c r="H44" s="271"/>
      <c r="I44" s="128">
        <v>2.09</v>
      </c>
      <c r="J44" s="129">
        <v>2</v>
      </c>
      <c r="K44" s="129" t="s">
        <v>256</v>
      </c>
      <c r="L44" s="128" t="s">
        <v>257</v>
      </c>
      <c r="M44" s="132" t="s">
        <v>258</v>
      </c>
      <c r="N44" s="128" t="s">
        <v>175</v>
      </c>
      <c r="O44" s="154" t="s">
        <v>242</v>
      </c>
      <c r="P44" s="132" t="str">
        <f t="shared" si="0"/>
        <v>R11e: First-degree relatives of patients with VTE and protein S deficiency (PS) who have a minor provoking VTE risk factor for PS.</v>
      </c>
      <c r="Q44" s="130" t="str">
        <f t="shared" si="1"/>
        <v>R11e</v>
      </c>
      <c r="R44" s="132" t="s">
        <v>259</v>
      </c>
    </row>
    <row r="45" spans="2:23" s="128" customFormat="1" ht="15.75" customHeight="1">
      <c r="B45" s="130" t="s">
        <v>260</v>
      </c>
      <c r="C45" s="130">
        <f>15/1000</f>
        <v>1.4999999999999999E-2</v>
      </c>
      <c r="D45" s="130">
        <v>0.51200000000000001</v>
      </c>
      <c r="E45" s="139">
        <v>2.82</v>
      </c>
      <c r="F45" s="129">
        <v>0.54</v>
      </c>
      <c r="G45" s="271">
        <f>4/1000</f>
        <v>4.0000000000000001E-3</v>
      </c>
      <c r="H45" s="271"/>
      <c r="I45" s="128">
        <v>2.09</v>
      </c>
      <c r="J45" s="129">
        <v>2</v>
      </c>
      <c r="K45" s="129" t="str">
        <f>B45</f>
        <v>R12a</v>
      </c>
      <c r="L45" s="128" t="s">
        <v>261</v>
      </c>
      <c r="M45" s="132" t="s">
        <v>262</v>
      </c>
      <c r="N45" s="128" t="s">
        <v>195</v>
      </c>
      <c r="O45" s="154" t="s">
        <v>242</v>
      </c>
      <c r="P45" s="132" t="str">
        <f t="shared" si="0"/>
        <v>R12a: First-degree relatives of patients with VTE and factor V Leiden (FVL) who have a minor provoking VTE risk factor for any hereditary thrombophilia.</v>
      </c>
      <c r="Q45" s="130" t="str">
        <f t="shared" si="1"/>
        <v>R12a</v>
      </c>
      <c r="R45" s="132" t="s">
        <v>243</v>
      </c>
    </row>
    <row r="46" spans="2:23" s="128" customFormat="1" ht="15.75" customHeight="1">
      <c r="B46" s="130" t="s">
        <v>263</v>
      </c>
      <c r="C46" s="130">
        <f>15/1000</f>
        <v>1.4999999999999999E-2</v>
      </c>
      <c r="D46" s="130">
        <v>0.52400000000000002</v>
      </c>
      <c r="E46" s="139">
        <v>2.5499999999999998</v>
      </c>
      <c r="F46" s="129">
        <v>0.54</v>
      </c>
      <c r="G46" s="271">
        <f t="shared" si="2"/>
        <v>4.0000000000000001E-3</v>
      </c>
      <c r="H46" s="271"/>
      <c r="I46" s="128">
        <v>2.09</v>
      </c>
      <c r="J46" s="129">
        <v>2</v>
      </c>
      <c r="K46" s="129" t="str">
        <f t="shared" ref="K46:K67" si="3">B46</f>
        <v>R12b</v>
      </c>
      <c r="L46" s="128" t="s">
        <v>264</v>
      </c>
      <c r="M46" s="132" t="s">
        <v>265</v>
      </c>
      <c r="N46" s="128" t="s">
        <v>195</v>
      </c>
      <c r="O46" s="154" t="s">
        <v>242</v>
      </c>
      <c r="P46" s="132" t="str">
        <f t="shared" si="0"/>
        <v>R12b: First-degree relatives of patients with VTE and prothrombin mutation (PT) who have a minor provoking VTE risk factor for any hereditary thrombophilia.</v>
      </c>
      <c r="Q46" s="130" t="str">
        <f t="shared" si="1"/>
        <v>R12b</v>
      </c>
      <c r="R46" s="132" t="s">
        <v>247</v>
      </c>
    </row>
    <row r="47" spans="2:23" s="128" customFormat="1" ht="15.75" customHeight="1">
      <c r="B47" s="130" t="s">
        <v>266</v>
      </c>
      <c r="C47" s="130">
        <f>50/1000</f>
        <v>0.05</v>
      </c>
      <c r="D47" s="130">
        <v>0.53300000000000003</v>
      </c>
      <c r="E47" s="139">
        <v>11.76</v>
      </c>
      <c r="F47" s="129">
        <v>0.54</v>
      </c>
      <c r="G47" s="271">
        <f t="shared" si="2"/>
        <v>4.0000000000000001E-3</v>
      </c>
      <c r="H47" s="271"/>
      <c r="I47" s="128">
        <v>2.09</v>
      </c>
      <c r="J47" s="129">
        <v>2</v>
      </c>
      <c r="K47" s="129" t="str">
        <f t="shared" si="3"/>
        <v>R12c</v>
      </c>
      <c r="L47" s="128" t="s">
        <v>267</v>
      </c>
      <c r="M47" s="132" t="s">
        <v>268</v>
      </c>
      <c r="N47" s="128" t="s">
        <v>175</v>
      </c>
      <c r="O47" s="154" t="s">
        <v>242</v>
      </c>
      <c r="P47" s="132" t="str">
        <f t="shared" si="0"/>
        <v>R12c: First-degree relatives of patients with VTE and antithrombin deficiency (AT) who have a minor provoking VTE risk factor for any hereditary thrombophilia.</v>
      </c>
      <c r="Q47" s="130" t="str">
        <f t="shared" si="1"/>
        <v>R12c</v>
      </c>
      <c r="R47" s="132" t="s">
        <v>251</v>
      </c>
    </row>
    <row r="48" spans="2:23" s="128" customFormat="1" ht="15.75" customHeight="1">
      <c r="B48" s="130" t="s">
        <v>269</v>
      </c>
      <c r="C48" s="130">
        <f>50/1000</f>
        <v>0.05</v>
      </c>
      <c r="D48" s="130">
        <v>0.53300000000000003</v>
      </c>
      <c r="E48" s="139">
        <v>7.36</v>
      </c>
      <c r="F48" s="129">
        <v>0.54</v>
      </c>
      <c r="G48" s="271">
        <f t="shared" si="2"/>
        <v>4.0000000000000001E-3</v>
      </c>
      <c r="H48" s="271"/>
      <c r="I48" s="128">
        <v>2.09</v>
      </c>
      <c r="J48" s="129">
        <v>2</v>
      </c>
      <c r="K48" s="129" t="str">
        <f t="shared" si="3"/>
        <v>R12d</v>
      </c>
      <c r="L48" s="128" t="s">
        <v>270</v>
      </c>
      <c r="M48" s="132" t="s">
        <v>271</v>
      </c>
      <c r="N48" s="128" t="s">
        <v>175</v>
      </c>
      <c r="O48" s="154" t="s">
        <v>242</v>
      </c>
      <c r="P48" s="132" t="str">
        <f t="shared" si="0"/>
        <v>R12d: First-degree relatives of patients with VTE and protein C deficiency (PC) who have a minor provoking VTE risk factor for any hereditary thrombophilia.</v>
      </c>
      <c r="Q48" s="130" t="str">
        <f t="shared" si="1"/>
        <v>R12d</v>
      </c>
      <c r="R48" s="132" t="s">
        <v>255</v>
      </c>
    </row>
    <row r="49" spans="2:18" s="128" customFormat="1" ht="15.75" customHeight="1">
      <c r="B49" s="130" t="s">
        <v>272</v>
      </c>
      <c r="C49" s="130">
        <f>50/1000</f>
        <v>0.05</v>
      </c>
      <c r="D49" s="130">
        <v>0.53400000000000003</v>
      </c>
      <c r="E49" s="139">
        <v>5.98</v>
      </c>
      <c r="F49" s="129">
        <v>0.54</v>
      </c>
      <c r="G49" s="271">
        <f t="shared" si="2"/>
        <v>4.0000000000000001E-3</v>
      </c>
      <c r="H49" s="271"/>
      <c r="I49" s="128">
        <v>2.09</v>
      </c>
      <c r="J49" s="129">
        <v>2</v>
      </c>
      <c r="K49" s="129" t="str">
        <f t="shared" si="3"/>
        <v>R12e</v>
      </c>
      <c r="L49" s="128" t="s">
        <v>273</v>
      </c>
      <c r="M49" s="132" t="s">
        <v>274</v>
      </c>
      <c r="N49" s="128" t="s">
        <v>175</v>
      </c>
      <c r="O49" s="154" t="s">
        <v>242</v>
      </c>
      <c r="P49" s="132" t="str">
        <f t="shared" si="0"/>
        <v>R12e: First-degree relatives of patients with VTE and protein S deficiency (PS) who have a minor provoking VTE risk factor for any hereditary thrombophilia.</v>
      </c>
      <c r="Q49" s="130" t="str">
        <f t="shared" si="1"/>
        <v>R12e</v>
      </c>
      <c r="R49" s="132" t="s">
        <v>259</v>
      </c>
    </row>
    <row r="50" spans="2:18" s="128" customFormat="1" ht="15.75" customHeight="1">
      <c r="B50" s="130" t="s">
        <v>275</v>
      </c>
      <c r="C50" s="130">
        <f>12/1000</f>
        <v>1.2E-2</v>
      </c>
      <c r="D50" s="130">
        <v>0.14199999999999999</v>
      </c>
      <c r="E50" s="139">
        <v>3.89</v>
      </c>
      <c r="F50" s="129">
        <v>0.54</v>
      </c>
      <c r="G50" s="271">
        <f t="shared" si="2"/>
        <v>4.0000000000000001E-3</v>
      </c>
      <c r="H50" s="271"/>
      <c r="I50" s="128">
        <v>2.09</v>
      </c>
      <c r="J50" s="129">
        <v>2</v>
      </c>
      <c r="K50" s="129" t="str">
        <f t="shared" si="3"/>
        <v>R13</v>
      </c>
      <c r="L50" s="128" t="s">
        <v>276</v>
      </c>
      <c r="M50" s="132" t="s">
        <v>277</v>
      </c>
      <c r="N50" s="128" t="s">
        <v>195</v>
      </c>
      <c r="O50" s="154" t="s">
        <v>242</v>
      </c>
      <c r="P50" s="132" t="str">
        <f t="shared" si="0"/>
        <v>R13: First-degree relatives of patients with VTE and unknown thrombophilia status who have a minor provoking risk factor for VTE.</v>
      </c>
      <c r="Q50" s="130" t="str">
        <f t="shared" si="1"/>
        <v>R13</v>
      </c>
      <c r="R50" s="132" t="s">
        <v>259</v>
      </c>
    </row>
    <row r="51" spans="2:18" s="128" customFormat="1" ht="15.75" customHeight="1">
      <c r="B51" s="130" t="s">
        <v>278</v>
      </c>
      <c r="C51" s="130">
        <f>7.5/1000</f>
        <v>7.4999999999999997E-3</v>
      </c>
      <c r="D51" s="130">
        <v>0.5</v>
      </c>
      <c r="E51" s="139">
        <v>2.71</v>
      </c>
      <c r="F51" s="129">
        <v>0.54</v>
      </c>
      <c r="G51" s="271">
        <f t="shared" si="2"/>
        <v>4.0000000000000001E-3</v>
      </c>
      <c r="H51" s="271"/>
      <c r="I51" s="128">
        <v>2.09</v>
      </c>
      <c r="J51" s="129">
        <v>2</v>
      </c>
      <c r="K51" s="129" t="str">
        <f t="shared" si="3"/>
        <v>R14a</v>
      </c>
      <c r="L51" s="128" t="s">
        <v>279</v>
      </c>
      <c r="M51" s="132" t="s">
        <v>280</v>
      </c>
      <c r="N51" s="128" t="s">
        <v>195</v>
      </c>
      <c r="O51" s="154" t="s">
        <v>242</v>
      </c>
      <c r="P51" s="132" t="str">
        <f t="shared" si="0"/>
        <v>R14a: First-degree relatives of patients with a family history of FVL  (low-risk thrombophilia) but no family history of VTE who have a minor provoking risk factor for VTE</v>
      </c>
      <c r="Q51" s="130" t="str">
        <f t="shared" si="1"/>
        <v>R14a</v>
      </c>
      <c r="R51" s="132" t="s">
        <v>243</v>
      </c>
    </row>
    <row r="52" spans="2:18" s="128" customFormat="1" ht="15.75" customHeight="1">
      <c r="B52" s="130" t="s">
        <v>281</v>
      </c>
      <c r="C52" s="130">
        <f>7.5/1000</f>
        <v>7.4999999999999997E-3</v>
      </c>
      <c r="D52" s="130">
        <v>0.5</v>
      </c>
      <c r="E52" s="139">
        <v>2.54</v>
      </c>
      <c r="F52" s="129">
        <v>0.54</v>
      </c>
      <c r="G52" s="271">
        <f t="shared" si="2"/>
        <v>4.0000000000000001E-3</v>
      </c>
      <c r="H52" s="271"/>
      <c r="I52" s="128">
        <v>2.09</v>
      </c>
      <c r="J52" s="129">
        <v>2</v>
      </c>
      <c r="K52" s="129" t="str">
        <f t="shared" si="3"/>
        <v>R14b</v>
      </c>
      <c r="L52" s="128" t="s">
        <v>282</v>
      </c>
      <c r="M52" s="132" t="s">
        <v>280</v>
      </c>
      <c r="N52" s="128" t="s">
        <v>195</v>
      </c>
      <c r="O52" s="154" t="s">
        <v>242</v>
      </c>
      <c r="P52" s="132" t="str">
        <f t="shared" si="0"/>
        <v>R14b: First-degree relatives of patients with a family history of  PGM (low-risk thrombophilia) but no family history of VTE who have a minor provoking risk factor for VTE</v>
      </c>
      <c r="Q52" s="130" t="str">
        <f t="shared" si="1"/>
        <v>R14b</v>
      </c>
      <c r="R52" s="132" t="s">
        <v>283</v>
      </c>
    </row>
    <row r="53" spans="2:18" s="128" customFormat="1" ht="15.75" customHeight="1">
      <c r="B53" s="130" t="s">
        <v>284</v>
      </c>
      <c r="C53" s="130">
        <f>25/1000</f>
        <v>2.5000000000000001E-2</v>
      </c>
      <c r="D53" s="130">
        <v>0.5</v>
      </c>
      <c r="E53" s="139">
        <v>12.17</v>
      </c>
      <c r="F53" s="129">
        <v>0.54</v>
      </c>
      <c r="G53" s="271">
        <f t="shared" si="2"/>
        <v>4.0000000000000001E-3</v>
      </c>
      <c r="H53" s="271"/>
      <c r="I53" s="128">
        <v>2.09</v>
      </c>
      <c r="J53" s="129">
        <v>2</v>
      </c>
      <c r="K53" s="129" t="str">
        <f t="shared" si="3"/>
        <v>R14c</v>
      </c>
      <c r="L53" s="128" t="s">
        <v>285</v>
      </c>
      <c r="M53" s="132" t="s">
        <v>286</v>
      </c>
      <c r="N53" s="128" t="s">
        <v>175</v>
      </c>
      <c r="O53" s="154" t="s">
        <v>242</v>
      </c>
      <c r="P53" s="132" t="str">
        <f t="shared" si="0"/>
        <v>R14c: First-degree relatives of patients with a family history of  antithrombin (high-risk thrombophilia) but no family history of VTE who have a minor provoking risk factor for VTE</v>
      </c>
      <c r="Q53" s="130" t="str">
        <f t="shared" si="1"/>
        <v>R14c</v>
      </c>
      <c r="R53" s="132" t="s">
        <v>251</v>
      </c>
    </row>
    <row r="54" spans="2:18" s="128" customFormat="1" ht="15.75" customHeight="1">
      <c r="B54" s="130" t="s">
        <v>287</v>
      </c>
      <c r="C54" s="130">
        <f>25/1000</f>
        <v>2.5000000000000001E-2</v>
      </c>
      <c r="D54" s="130">
        <v>0.5</v>
      </c>
      <c r="E54" s="139">
        <v>7.47</v>
      </c>
      <c r="F54" s="129">
        <v>0.54</v>
      </c>
      <c r="G54" s="271">
        <f t="shared" si="2"/>
        <v>4.0000000000000001E-3</v>
      </c>
      <c r="H54" s="271"/>
      <c r="I54" s="128">
        <v>2.09</v>
      </c>
      <c r="J54" s="129">
        <v>2</v>
      </c>
      <c r="K54" s="129" t="str">
        <f t="shared" si="3"/>
        <v>R14d</v>
      </c>
      <c r="L54" s="128" t="s">
        <v>288</v>
      </c>
      <c r="M54" s="132" t="s">
        <v>289</v>
      </c>
      <c r="N54" s="128" t="s">
        <v>175</v>
      </c>
      <c r="O54" s="154" t="s">
        <v>242</v>
      </c>
      <c r="P54" s="132" t="str">
        <f t="shared" si="0"/>
        <v>R14d: First-degree relatives of patientss with a family history of  protein C (high-risk thrombophilia) but no family history of VTE who have a minor provoking risk factor for VTE</v>
      </c>
      <c r="Q54" s="130" t="str">
        <f t="shared" si="1"/>
        <v>R14d</v>
      </c>
      <c r="R54" s="132" t="s">
        <v>255</v>
      </c>
    </row>
    <row r="55" spans="2:18" s="128" customFormat="1" ht="15.75" customHeight="1">
      <c r="B55" s="130" t="s">
        <v>290</v>
      </c>
      <c r="C55" s="130">
        <f>25/1000</f>
        <v>2.5000000000000001E-2</v>
      </c>
      <c r="D55" s="130">
        <v>0.5</v>
      </c>
      <c r="E55" s="139">
        <v>5.98</v>
      </c>
      <c r="F55" s="129">
        <v>0.54</v>
      </c>
      <c r="G55" s="271">
        <f t="shared" si="2"/>
        <v>4.0000000000000001E-3</v>
      </c>
      <c r="H55" s="271"/>
      <c r="I55" s="128">
        <v>2.09</v>
      </c>
      <c r="J55" s="129">
        <v>2</v>
      </c>
      <c r="K55" s="129" t="str">
        <f t="shared" si="3"/>
        <v>R14e</v>
      </c>
      <c r="L55" s="128" t="s">
        <v>291</v>
      </c>
      <c r="M55" s="132" t="s">
        <v>292</v>
      </c>
      <c r="N55" s="128" t="s">
        <v>175</v>
      </c>
      <c r="O55" s="154" t="s">
        <v>242</v>
      </c>
      <c r="P55" s="132" t="str">
        <f t="shared" si="0"/>
        <v>R14e: First-degree relatives of patients with a family history of  protein S (high-risk thrombophilia) but no family history of VTE who have a minor provoking risk factor for VTE</v>
      </c>
      <c r="Q55" s="130" t="str">
        <f t="shared" si="1"/>
        <v>R14e</v>
      </c>
      <c r="R55" s="132" t="s">
        <v>259</v>
      </c>
    </row>
    <row r="56" spans="2:18" s="128" customFormat="1" ht="15.75" customHeight="1">
      <c r="B56" s="130" t="s">
        <v>293</v>
      </c>
      <c r="C56" s="128">
        <f>37.5/1000</f>
        <v>3.7499999999999999E-2</v>
      </c>
      <c r="D56" s="128">
        <v>0.25</v>
      </c>
      <c r="E56" s="128">
        <v>20.96</v>
      </c>
      <c r="F56" s="129">
        <v>0.41</v>
      </c>
      <c r="G56" s="271">
        <f>6.34/1000</f>
        <v>6.3400000000000001E-3</v>
      </c>
      <c r="H56" s="271"/>
      <c r="I56" s="128">
        <v>3.21</v>
      </c>
      <c r="J56" s="129">
        <v>2</v>
      </c>
      <c r="K56" s="129" t="str">
        <f t="shared" si="3"/>
        <v>R21a</v>
      </c>
      <c r="L56" s="128" t="s">
        <v>294</v>
      </c>
      <c r="M56" s="132" t="s">
        <v>295</v>
      </c>
      <c r="N56" s="130" t="s">
        <v>175</v>
      </c>
      <c r="O56" s="131" t="s">
        <v>296</v>
      </c>
      <c r="P56" s="132" t="str">
        <f t="shared" si="0"/>
        <v>R21a: Women with a family history of VTE and known homozygous FVL in the family.</v>
      </c>
      <c r="Q56" s="130"/>
      <c r="R56" s="132" t="s">
        <v>243</v>
      </c>
    </row>
    <row r="57" spans="2:18" s="128" customFormat="1" ht="15.75" customHeight="1">
      <c r="B57" s="130" t="s">
        <v>297</v>
      </c>
      <c r="C57" s="128">
        <f>18/1000</f>
        <v>1.7999999999999999E-2</v>
      </c>
      <c r="D57" s="128">
        <v>0.5</v>
      </c>
      <c r="E57" s="128">
        <v>10.51</v>
      </c>
      <c r="F57" s="129">
        <v>0.41</v>
      </c>
      <c r="G57" s="271">
        <f t="shared" ref="G57:G60" si="4">6.34/1000</f>
        <v>6.3400000000000001E-3</v>
      </c>
      <c r="H57" s="271"/>
      <c r="I57" s="128">
        <v>3.21</v>
      </c>
      <c r="J57" s="129">
        <v>2</v>
      </c>
      <c r="K57" s="129" t="str">
        <f t="shared" si="3"/>
        <v>R21b</v>
      </c>
      <c r="L57" s="128" t="s">
        <v>298</v>
      </c>
      <c r="M57" s="132" t="s">
        <v>299</v>
      </c>
      <c r="N57" s="130" t="s">
        <v>175</v>
      </c>
      <c r="O57" s="131" t="s">
        <v>296</v>
      </c>
      <c r="P57" s="132" t="str">
        <f t="shared" si="0"/>
        <v>R21b: Women with a family history of VTE and an antithrombin deficiency in the family.</v>
      </c>
      <c r="Q57" s="130"/>
      <c r="R57" s="132" t="s">
        <v>251</v>
      </c>
    </row>
    <row r="58" spans="2:18" s="128" customFormat="1" ht="15.75" customHeight="1">
      <c r="B58" s="130" t="s">
        <v>300</v>
      </c>
      <c r="C58" s="128">
        <f>4/1000</f>
        <v>4.0000000000000001E-3</v>
      </c>
      <c r="D58" s="128">
        <v>0.5</v>
      </c>
      <c r="E58" s="128">
        <v>6.04</v>
      </c>
      <c r="F58" s="129">
        <v>0.41</v>
      </c>
      <c r="G58" s="271">
        <f t="shared" si="4"/>
        <v>6.3400000000000001E-3</v>
      </c>
      <c r="H58" s="271"/>
      <c r="I58" s="128">
        <v>3.21</v>
      </c>
      <c r="J58" s="129">
        <v>2</v>
      </c>
      <c r="K58" s="129" t="str">
        <f t="shared" si="3"/>
        <v>R21c</v>
      </c>
      <c r="L58" s="128" t="s">
        <v>301</v>
      </c>
      <c r="M58" s="132" t="s">
        <v>302</v>
      </c>
      <c r="N58" s="130" t="s">
        <v>195</v>
      </c>
      <c r="O58" s="131" t="s">
        <v>296</v>
      </c>
      <c r="P58" s="132" t="str">
        <f t="shared" si="0"/>
        <v>R21c: Women with a family history of VTE and a known protein C deficiency in the family.</v>
      </c>
      <c r="Q58" s="130"/>
      <c r="R58" s="132" t="s">
        <v>255</v>
      </c>
    </row>
    <row r="59" spans="2:18" s="128" customFormat="1" ht="15.75" customHeight="1">
      <c r="B59" s="130" t="s">
        <v>303</v>
      </c>
      <c r="C59" s="128">
        <f>8/1000</f>
        <v>8.0000000000000002E-3</v>
      </c>
      <c r="D59" s="128">
        <v>0.5</v>
      </c>
      <c r="E59" s="128">
        <v>5.03</v>
      </c>
      <c r="F59" s="129">
        <v>0.41</v>
      </c>
      <c r="G59" s="271">
        <f t="shared" si="4"/>
        <v>6.3400000000000001E-3</v>
      </c>
      <c r="H59" s="271"/>
      <c r="I59" s="128">
        <v>3.21</v>
      </c>
      <c r="J59" s="129">
        <v>2</v>
      </c>
      <c r="K59" s="129" t="str">
        <f t="shared" si="3"/>
        <v>R21d</v>
      </c>
      <c r="L59" s="128" t="s">
        <v>304</v>
      </c>
      <c r="M59" s="132" t="s">
        <v>302</v>
      </c>
      <c r="N59" s="130" t="s">
        <v>195</v>
      </c>
      <c r="O59" s="131" t="s">
        <v>296</v>
      </c>
      <c r="P59" s="132" t="str">
        <f t="shared" si="0"/>
        <v>R21d: Women with a family history of VTE and a known protein S deficiency in the family.</v>
      </c>
      <c r="Q59" s="130"/>
      <c r="R59" s="132" t="s">
        <v>259</v>
      </c>
    </row>
    <row r="60" spans="2:18" s="128" customFormat="1" ht="15.75" customHeight="1">
      <c r="B60" s="130" t="s">
        <v>305</v>
      </c>
      <c r="C60" s="128">
        <f>20.25/1000</f>
        <v>2.0250000000000001E-2</v>
      </c>
      <c r="D60" s="128">
        <v>0.25</v>
      </c>
      <c r="E60" s="128">
        <v>9.36</v>
      </c>
      <c r="F60" s="129">
        <v>0.41</v>
      </c>
      <c r="G60" s="271">
        <f t="shared" si="4"/>
        <v>6.3400000000000001E-3</v>
      </c>
      <c r="H60" s="271"/>
      <c r="I60" s="128">
        <v>3.21</v>
      </c>
      <c r="J60" s="129">
        <v>2</v>
      </c>
      <c r="K60" s="129" t="str">
        <f t="shared" si="3"/>
        <v>R21e</v>
      </c>
      <c r="L60" s="128" t="s">
        <v>306</v>
      </c>
      <c r="M60" s="132" t="s">
        <v>307</v>
      </c>
      <c r="N60" s="130" t="s">
        <v>175</v>
      </c>
      <c r="O60" s="131" t="s">
        <v>296</v>
      </c>
      <c r="P60" s="132" t="str">
        <f t="shared" si="0"/>
        <v>R21e: Women with a family history of VTE and a combination of FVL and PGM in the family.</v>
      </c>
      <c r="Q60" s="130"/>
      <c r="R60" s="132" t="s">
        <v>308</v>
      </c>
    </row>
    <row r="61" spans="2:18" s="128" customFormat="1" ht="15.75" customHeight="1">
      <c r="B61" s="130" t="s">
        <v>309</v>
      </c>
      <c r="C61" s="128">
        <f>37.5/1000</f>
        <v>3.7499999999999999E-2</v>
      </c>
      <c r="D61" s="128">
        <v>0.25</v>
      </c>
      <c r="E61" s="128">
        <v>20.96</v>
      </c>
      <c r="F61" s="129">
        <v>0.41</v>
      </c>
      <c r="G61" s="271">
        <f>8.46/1000</f>
        <v>8.4600000000000005E-3</v>
      </c>
      <c r="H61" s="271"/>
      <c r="I61" s="128">
        <v>3.38</v>
      </c>
      <c r="J61" s="129">
        <v>2</v>
      </c>
      <c r="K61" s="129" t="str">
        <f t="shared" si="3"/>
        <v>R22a</v>
      </c>
      <c r="L61" s="128" t="s">
        <v>310</v>
      </c>
      <c r="M61" s="132" t="s">
        <v>299</v>
      </c>
      <c r="N61" s="130" t="s">
        <v>175</v>
      </c>
      <c r="O61" s="131" t="s">
        <v>296</v>
      </c>
      <c r="P61" s="132" t="str">
        <f t="shared" si="0"/>
        <v>R22a: Women with a first or second-degree family history of VTE and known homozygous FVL in the family.</v>
      </c>
      <c r="Q61" s="130"/>
      <c r="R61" s="132" t="s">
        <v>243</v>
      </c>
    </row>
    <row r="62" spans="2:18" s="128" customFormat="1" ht="15.75" customHeight="1">
      <c r="B62" s="130" t="s">
        <v>311</v>
      </c>
      <c r="C62" s="128">
        <f>18/1000</f>
        <v>1.7999999999999999E-2</v>
      </c>
      <c r="D62" s="128">
        <v>0.5</v>
      </c>
      <c r="E62" s="128">
        <v>10.51</v>
      </c>
      <c r="F62" s="129">
        <v>0.41</v>
      </c>
      <c r="G62" s="271">
        <f t="shared" ref="G62:G65" si="5">8.46/1000</f>
        <v>8.4600000000000005E-3</v>
      </c>
      <c r="H62" s="271"/>
      <c r="I62" s="128">
        <v>3.38</v>
      </c>
      <c r="J62" s="129">
        <v>2</v>
      </c>
      <c r="K62" s="129" t="str">
        <f t="shared" si="3"/>
        <v>R22b</v>
      </c>
      <c r="L62" s="128" t="s">
        <v>312</v>
      </c>
      <c r="M62" s="132" t="s">
        <v>299</v>
      </c>
      <c r="N62" s="130" t="s">
        <v>175</v>
      </c>
      <c r="O62" s="131" t="s">
        <v>296</v>
      </c>
      <c r="P62" s="132" t="str">
        <f t="shared" si="0"/>
        <v>R22b: Women with a first or second-degree family history of VTE and known antithrombin deficiency in the family.</v>
      </c>
      <c r="Q62" s="130"/>
      <c r="R62" s="132" t="s">
        <v>251</v>
      </c>
    </row>
    <row r="63" spans="2:18" s="128" customFormat="1" ht="15.75" customHeight="1">
      <c r="B63" s="130" t="s">
        <v>313</v>
      </c>
      <c r="C63" s="128">
        <f>4/1000</f>
        <v>4.0000000000000001E-3</v>
      </c>
      <c r="D63" s="128">
        <v>0.5</v>
      </c>
      <c r="E63" s="128">
        <v>6.04</v>
      </c>
      <c r="F63" s="129">
        <v>0.41</v>
      </c>
      <c r="G63" s="271">
        <f t="shared" si="5"/>
        <v>8.4600000000000005E-3</v>
      </c>
      <c r="H63" s="271"/>
      <c r="I63" s="128">
        <v>3.38</v>
      </c>
      <c r="J63" s="129">
        <v>2</v>
      </c>
      <c r="K63" s="129" t="str">
        <f t="shared" si="3"/>
        <v>R22c</v>
      </c>
      <c r="L63" s="128" t="s">
        <v>314</v>
      </c>
      <c r="M63" s="132" t="s">
        <v>315</v>
      </c>
      <c r="N63" s="130" t="s">
        <v>175</v>
      </c>
      <c r="O63" s="131" t="s">
        <v>296</v>
      </c>
      <c r="P63" s="132" t="str">
        <f t="shared" si="0"/>
        <v>R22c: Women with a first or second-degree family history of VTE and known protein C deficiency in the family.</v>
      </c>
      <c r="Q63" s="130"/>
      <c r="R63" s="132" t="s">
        <v>255</v>
      </c>
    </row>
    <row r="64" spans="2:18" s="128" customFormat="1" ht="15.75" customHeight="1">
      <c r="B64" s="130" t="s">
        <v>316</v>
      </c>
      <c r="C64" s="128">
        <f>8/1000</f>
        <v>8.0000000000000002E-3</v>
      </c>
      <c r="D64" s="128">
        <v>0.5</v>
      </c>
      <c r="E64" s="128">
        <v>5.03</v>
      </c>
      <c r="F64" s="129">
        <v>0.41</v>
      </c>
      <c r="G64" s="271">
        <f t="shared" si="5"/>
        <v>8.4600000000000005E-3</v>
      </c>
      <c r="H64" s="271"/>
      <c r="I64" s="128">
        <v>3.38</v>
      </c>
      <c r="J64" s="129">
        <v>2</v>
      </c>
      <c r="K64" s="129" t="str">
        <f t="shared" si="3"/>
        <v>R22d</v>
      </c>
      <c r="L64" s="128" t="s">
        <v>317</v>
      </c>
      <c r="M64" s="132" t="s">
        <v>318</v>
      </c>
      <c r="N64" s="130" t="s">
        <v>175</v>
      </c>
      <c r="O64" s="131" t="s">
        <v>296</v>
      </c>
      <c r="P64" s="132" t="str">
        <f t="shared" si="0"/>
        <v>R22d: Women with a first or second-degree family history of VTE and known protein S deficiency in the family.</v>
      </c>
      <c r="Q64" s="130"/>
      <c r="R64" s="132" t="s">
        <v>259</v>
      </c>
    </row>
    <row r="65" spans="2:25" s="128" customFormat="1" ht="15.75" customHeight="1">
      <c r="B65" s="130" t="s">
        <v>319</v>
      </c>
      <c r="C65" s="128">
        <f>20.25/1000</f>
        <v>2.0250000000000001E-2</v>
      </c>
      <c r="D65" s="128">
        <v>0.25</v>
      </c>
      <c r="E65" s="128">
        <v>9.36</v>
      </c>
      <c r="F65" s="129">
        <v>0.41</v>
      </c>
      <c r="G65" s="271">
        <f t="shared" si="5"/>
        <v>8.4600000000000005E-3</v>
      </c>
      <c r="H65" s="271"/>
      <c r="I65" s="128">
        <v>3.38</v>
      </c>
      <c r="J65" s="129">
        <v>2</v>
      </c>
      <c r="K65" s="129" t="str">
        <f t="shared" si="3"/>
        <v>R22e</v>
      </c>
      <c r="L65" s="128" t="s">
        <v>320</v>
      </c>
      <c r="M65" s="132" t="s">
        <v>299</v>
      </c>
      <c r="N65" s="130" t="s">
        <v>175</v>
      </c>
      <c r="O65" s="131" t="s">
        <v>296</v>
      </c>
      <c r="P65" s="132" t="str">
        <f t="shared" si="0"/>
        <v>R22e: Women with a first or second-degree family history of VTE and known combination of FVL and PGM in the family.</v>
      </c>
      <c r="Q65" s="130"/>
      <c r="R65" s="132" t="s">
        <v>308</v>
      </c>
    </row>
    <row r="66" spans="2:25" s="128" customFormat="1" ht="15.75" customHeight="1">
      <c r="B66" s="130" t="s">
        <v>321</v>
      </c>
      <c r="C66" s="128">
        <f>50/1000</f>
        <v>0.05</v>
      </c>
      <c r="D66" s="128">
        <v>0.14199999999999999</v>
      </c>
      <c r="E66" s="128">
        <v>3.28</v>
      </c>
      <c r="F66" s="129">
        <v>0.61</v>
      </c>
      <c r="G66" s="271">
        <f>3.6/1000</f>
        <v>3.5999999999999999E-3</v>
      </c>
      <c r="H66" s="271"/>
      <c r="I66" s="128">
        <v>1.65</v>
      </c>
      <c r="J66" s="129">
        <v>2</v>
      </c>
      <c r="K66" s="129" t="str">
        <f t="shared" si="3"/>
        <v>R23a</v>
      </c>
      <c r="L66" s="128" t="s">
        <v>322</v>
      </c>
      <c r="M66" s="132" t="s">
        <v>323</v>
      </c>
      <c r="N66" s="130" t="s">
        <v>175</v>
      </c>
      <c r="O66" s="131" t="s">
        <v>324</v>
      </c>
      <c r="P66" s="132" t="str">
        <f t="shared" si="0"/>
        <v>R23a: Ambulatory patients with cancer who have a family history of VTE and are otherwise determined to be at low risk for VTE.</v>
      </c>
      <c r="Q66" s="130"/>
      <c r="R66" s="132" t="s">
        <v>168</v>
      </c>
    </row>
    <row r="67" spans="2:25" s="128" customFormat="1" ht="15.75" customHeight="1">
      <c r="B67" s="130" t="s">
        <v>325</v>
      </c>
      <c r="C67" s="128">
        <f>66/1000</f>
        <v>6.6000000000000003E-2</v>
      </c>
      <c r="D67" s="128">
        <v>0.14199999999999999</v>
      </c>
      <c r="E67" s="128">
        <v>3.28</v>
      </c>
      <c r="F67" s="129">
        <v>0.61</v>
      </c>
      <c r="G67" s="271">
        <f>8/1000</f>
        <v>8.0000000000000002E-3</v>
      </c>
      <c r="H67" s="271"/>
      <c r="I67" s="128">
        <v>1.65</v>
      </c>
      <c r="J67" s="129">
        <v>2</v>
      </c>
      <c r="K67" s="129" t="str">
        <f t="shared" si="3"/>
        <v>R23b</v>
      </c>
      <c r="L67" s="128" t="s">
        <v>326</v>
      </c>
      <c r="M67" s="132" t="s">
        <v>327</v>
      </c>
      <c r="N67" s="130" t="s">
        <v>175</v>
      </c>
      <c r="O67" s="131" t="s">
        <v>328</v>
      </c>
      <c r="P67" s="132" t="str">
        <f t="shared" si="0"/>
        <v>R23b: Ambulatory patients with cancer who have a family history of VTE and are otherwise determined to be at intermediate risk for VTE.</v>
      </c>
      <c r="Q67" s="130"/>
      <c r="R67" s="132" t="s">
        <v>329</v>
      </c>
    </row>
    <row r="68" spans="2:25" s="128" customFormat="1" ht="15.75" customHeight="1">
      <c r="F68" s="129"/>
      <c r="N68" s="130"/>
      <c r="O68" s="130"/>
      <c r="P68" s="130"/>
      <c r="Q68" s="130"/>
    </row>
    <row r="69" spans="2:25" s="128" customFormat="1" ht="15.75" customHeight="1">
      <c r="F69" s="129"/>
      <c r="N69" s="130"/>
      <c r="O69" s="130"/>
      <c r="P69" s="130"/>
      <c r="Q69" s="130"/>
      <c r="S69" s="128" t="b">
        <f>(S73&lt;$P$9)</f>
        <v>0</v>
      </c>
      <c r="T69" s="128" t="b">
        <f>(T73&lt;$P$9)</f>
        <v>1</v>
      </c>
      <c r="U69" s="128" t="b">
        <f>(U73&lt;$P$9)</f>
        <v>1</v>
      </c>
      <c r="W69" s="128" t="str">
        <f>"Acceptable regret (Rg = "&amp;P9&amp;")"</f>
        <v>Acceptable regret (Rg = 5)</v>
      </c>
    </row>
    <row r="70" spans="2:25" s="128" customFormat="1" ht="15.75" customHeight="1">
      <c r="F70" s="129"/>
      <c r="N70" s="130"/>
      <c r="O70" s="130"/>
      <c r="P70" s="136" t="s">
        <v>195</v>
      </c>
      <c r="Q70" s="136" t="s">
        <v>175</v>
      </c>
      <c r="R70" s="136" t="s">
        <v>190</v>
      </c>
      <c r="S70" s="136" t="s">
        <v>195</v>
      </c>
      <c r="T70" s="136" t="s">
        <v>175</v>
      </c>
      <c r="U70" s="136" t="s">
        <v>190</v>
      </c>
      <c r="X70" s="128">
        <f>MIN(I78:I103)</f>
        <v>1E-4</v>
      </c>
      <c r="Y70" s="128">
        <f>MAX(I78:I103)</f>
        <v>0.11</v>
      </c>
    </row>
    <row r="71" spans="2:25" s="128" customFormat="1" ht="15.75" customHeight="1">
      <c r="F71" s="129"/>
      <c r="G71" s="128" t="str">
        <f>"Testing threshold ("&amp;ROUND(100*I71,2)&amp;"%)"</f>
        <v>Testing threshold (0.55%)</v>
      </c>
      <c r="I71" s="147">
        <f>N27</f>
        <v>5.5316271630071242E-3</v>
      </c>
      <c r="J71" s="155">
        <f t="shared" ref="J71:J73" si="6">I71*$F$27</f>
        <v>5.5316271630071245</v>
      </c>
      <c r="K71" s="155">
        <f t="shared" ref="K71:K73" si="7">I71*($F$29*$F$30*$J$34+(1-$F$29))/($F$30*$F$29+(1-$F$29))*$F$27</f>
        <v>3.3516271630071244</v>
      </c>
      <c r="L71" s="155">
        <f t="shared" ref="L71:L73" si="8">I71*$J$34*$F$27</f>
        <v>2.9870786680238472</v>
      </c>
      <c r="M71" s="155">
        <f t="shared" ref="M71:M73" si="9">$K$27*$F$27</f>
        <v>4</v>
      </c>
      <c r="N71" s="155">
        <f t="shared" ref="N71:N73" si="10">($F$29*$L$29+(1-$F$29))*$K$27*$F$27</f>
        <v>6.18</v>
      </c>
      <c r="O71" s="155">
        <f t="shared" ref="O71:O73" si="11">$L$29*$K$27*$F$27</f>
        <v>8.36</v>
      </c>
      <c r="P71" s="155">
        <f t="shared" ref="P71:P73" si="12">(J71+$H$9*M71)/(1+$H$9)</f>
        <v>4.7658135815035623</v>
      </c>
      <c r="Q71" s="155">
        <f t="shared" ref="Q71:Q73" si="13">(K71+$H$9*N71)/(1+$H$9)</f>
        <v>4.7658135815035623</v>
      </c>
      <c r="R71" s="155">
        <f t="shared" ref="R71:R73" si="14">(L71+$H$9*O71)/(1+$H$9)</f>
        <v>5.6735393340119238</v>
      </c>
      <c r="S71" s="155">
        <f t="shared" ref="S71:S73" si="15">P71-MIN(P71:R71)</f>
        <v>0</v>
      </c>
      <c r="T71" s="155">
        <f t="shared" ref="T71:T73" si="16">Q71-MIN(P71:R71)</f>
        <v>0</v>
      </c>
      <c r="U71" s="155">
        <f t="shared" ref="U71:U73" si="17">R71-MIN(P71:R71)</f>
        <v>0.90772575250836152</v>
      </c>
      <c r="X71" s="128">
        <f>P9</f>
        <v>5</v>
      </c>
      <c r="Y71" s="128">
        <f>P9</f>
        <v>5</v>
      </c>
    </row>
    <row r="72" spans="2:25" s="128" customFormat="1" ht="15.75" customHeight="1">
      <c r="F72" s="129"/>
      <c r="G72" s="128" t="str">
        <f>"Treatment threshold("&amp;ROUND(100*I72,2)&amp;"%)"</f>
        <v>Treatment threshold(3.31%)</v>
      </c>
      <c r="I72" s="147">
        <f>R27</f>
        <v>3.3079130434782611E-2</v>
      </c>
      <c r="J72" s="155">
        <f t="shared" si="6"/>
        <v>33.079130434782613</v>
      </c>
      <c r="K72" s="155">
        <f t="shared" si="7"/>
        <v>20.042730434782612</v>
      </c>
      <c r="L72" s="155">
        <f t="shared" si="8"/>
        <v>17.862730434782609</v>
      </c>
      <c r="M72" s="155">
        <f t="shared" si="9"/>
        <v>4</v>
      </c>
      <c r="N72" s="155">
        <f t="shared" si="10"/>
        <v>6.18</v>
      </c>
      <c r="O72" s="155">
        <f t="shared" si="11"/>
        <v>8.36</v>
      </c>
      <c r="P72" s="155">
        <f t="shared" si="12"/>
        <v>18.539565217391306</v>
      </c>
      <c r="Q72" s="155">
        <f t="shared" si="13"/>
        <v>13.111365217391306</v>
      </c>
      <c r="R72" s="155">
        <f t="shared" si="14"/>
        <v>13.111365217391304</v>
      </c>
      <c r="S72" s="155">
        <f t="shared" si="15"/>
        <v>5.4282000000000021</v>
      </c>
      <c r="T72" s="155">
        <f t="shared" si="16"/>
        <v>0</v>
      </c>
      <c r="U72" s="155">
        <f t="shared" si="17"/>
        <v>0</v>
      </c>
    </row>
    <row r="73" spans="2:25" s="128" customFormat="1" ht="15.75" customHeight="1">
      <c r="F73" s="129"/>
      <c r="H73" s="128" t="str">
        <f>"Case "&amp;B3&amp;" (p="&amp;ROUND(100*F28,2)&amp;"%)"</f>
        <v>Case R11e (p=5%)</v>
      </c>
      <c r="I73" s="147">
        <f>I75</f>
        <v>0.05</v>
      </c>
      <c r="J73" s="155">
        <f t="shared" si="6"/>
        <v>50</v>
      </c>
      <c r="K73" s="155">
        <f t="shared" si="7"/>
        <v>30.295128939828086</v>
      </c>
      <c r="L73" s="155">
        <f t="shared" si="8"/>
        <v>27.000000000000004</v>
      </c>
      <c r="M73" s="155">
        <f t="shared" si="9"/>
        <v>4</v>
      </c>
      <c r="N73" s="155">
        <f t="shared" si="10"/>
        <v>6.18</v>
      </c>
      <c r="O73" s="155">
        <f t="shared" si="11"/>
        <v>8.36</v>
      </c>
      <c r="P73" s="155">
        <f t="shared" si="12"/>
        <v>27</v>
      </c>
      <c r="Q73" s="155">
        <f t="shared" si="13"/>
        <v>18.237564469914041</v>
      </c>
      <c r="R73" s="155">
        <f t="shared" si="14"/>
        <v>17.68</v>
      </c>
      <c r="S73" s="153">
        <f t="shared" si="15"/>
        <v>9.32</v>
      </c>
      <c r="T73" s="153">
        <f t="shared" si="16"/>
        <v>0.55756446991404118</v>
      </c>
      <c r="U73" s="153">
        <f t="shared" si="17"/>
        <v>0</v>
      </c>
    </row>
    <row r="74" spans="2:25" s="128" customFormat="1" ht="15.75" customHeight="1">
      <c r="F74" s="129"/>
      <c r="H74" s="128" t="s">
        <v>222</v>
      </c>
      <c r="N74" s="130"/>
      <c r="O74" s="130"/>
      <c r="P74" s="130"/>
      <c r="Q74" s="130"/>
    </row>
    <row r="75" spans="2:25" s="128" customFormat="1" ht="15.75" customHeight="1">
      <c r="F75" s="129"/>
      <c r="H75" s="128" t="str">
        <f>H73</f>
        <v>Case R11e (p=5%)</v>
      </c>
      <c r="I75" s="128">
        <f>F28</f>
        <v>0.05</v>
      </c>
      <c r="J75" s="150"/>
      <c r="K75" s="150"/>
      <c r="N75" s="130"/>
      <c r="O75" s="130"/>
      <c r="P75" s="130"/>
      <c r="Q75" s="130"/>
      <c r="R75" s="150"/>
      <c r="T75" s="128" t="s">
        <v>330</v>
      </c>
    </row>
    <row r="76" spans="2:25" s="128" customFormat="1" ht="15.75" customHeight="1">
      <c r="F76" s="129"/>
      <c r="J76" s="271" t="s">
        <v>223</v>
      </c>
      <c r="K76" s="271"/>
      <c r="L76" s="271"/>
      <c r="M76" s="271" t="s">
        <v>224</v>
      </c>
      <c r="N76" s="271"/>
      <c r="O76" s="271"/>
      <c r="P76" s="274" t="str">
        <f>"Weighted Average  (VTE + major bleeding)"</f>
        <v>Weighted Average  (VTE + major bleeding)</v>
      </c>
      <c r="Q76" s="274"/>
      <c r="R76" s="274"/>
      <c r="S76" s="275" t="str">
        <f>"Regret - "&amp;P76</f>
        <v>Regret - Weighted Average  (VTE + major bleeding)</v>
      </c>
      <c r="T76" s="275"/>
      <c r="U76" s="275"/>
      <c r="X76" s="128" t="s">
        <v>225</v>
      </c>
    </row>
    <row r="77" spans="2:25" s="128" customFormat="1" ht="15.75" customHeight="1">
      <c r="F77" s="129"/>
      <c r="I77" s="128" t="s">
        <v>227</v>
      </c>
      <c r="J77" s="136" t="s">
        <v>195</v>
      </c>
      <c r="K77" s="136" t="s">
        <v>175</v>
      </c>
      <c r="L77" s="136" t="s">
        <v>190</v>
      </c>
      <c r="M77" s="136" t="s">
        <v>195</v>
      </c>
      <c r="N77" s="136" t="s">
        <v>175</v>
      </c>
      <c r="O77" s="136" t="s">
        <v>190</v>
      </c>
      <c r="P77" s="136" t="s">
        <v>195</v>
      </c>
      <c r="Q77" s="136" t="s">
        <v>175</v>
      </c>
      <c r="R77" s="136" t="s">
        <v>190</v>
      </c>
      <c r="S77" s="136" t="s">
        <v>195</v>
      </c>
      <c r="T77" s="136" t="s">
        <v>175</v>
      </c>
      <c r="U77" s="136" t="s">
        <v>190</v>
      </c>
      <c r="X77" s="147">
        <f>I71</f>
        <v>5.5316271630071242E-3</v>
      </c>
      <c r="Y77" s="147">
        <f>I71</f>
        <v>5.5316271630071242E-3</v>
      </c>
    </row>
    <row r="78" spans="2:25" s="128" customFormat="1" ht="15.75" customHeight="1">
      <c r="F78" s="129"/>
      <c r="I78" s="147">
        <v>1E-4</v>
      </c>
      <c r="J78" s="155">
        <f>I78*$F$27</f>
        <v>0.1</v>
      </c>
      <c r="K78" s="155">
        <f>I78*($F$29*$F$30*$J$34+(1-$F$29))/($F$30*$F$29+(1-$F$29))*$F$27</f>
        <v>6.0590257879656169E-2</v>
      </c>
      <c r="L78" s="155">
        <f>I78*$J$34*$F$27</f>
        <v>5.4000000000000006E-2</v>
      </c>
      <c r="M78" s="155">
        <f>$K$27*$F$27</f>
        <v>4</v>
      </c>
      <c r="N78" s="155">
        <f>($F$29*$L$29+(1-$F$29))*$K$27*$F$27</f>
        <v>6.18</v>
      </c>
      <c r="O78" s="155">
        <f>$L$29*$K$27*$F$27</f>
        <v>8.36</v>
      </c>
      <c r="P78" s="155">
        <f>(J78+$H$9*M78)/(1+$H$9)</f>
        <v>2.0499999999999998</v>
      </c>
      <c r="Q78" s="155">
        <f>(K78+$H$9*N78)/(1+$H$9)</f>
        <v>3.1202951289398277</v>
      </c>
      <c r="R78" s="155">
        <f>(L78+$H$9*O78)/(1+$H$9)</f>
        <v>4.2069999999999999</v>
      </c>
      <c r="S78" s="155">
        <f t="shared" ref="S78" si="18">P78-MIN(P78:R78)</f>
        <v>0</v>
      </c>
      <c r="T78" s="155">
        <f t="shared" ref="T78" si="19">Q78-MIN(P78:R78)</f>
        <v>1.0702951289398279</v>
      </c>
      <c r="U78" s="155">
        <f t="shared" ref="U78" si="20">R78-MIN(P78:R78)</f>
        <v>2.157</v>
      </c>
      <c r="W78" s="136" t="s">
        <v>228</v>
      </c>
      <c r="X78" s="149">
        <f>0</f>
        <v>0</v>
      </c>
      <c r="Y78" s="150">
        <f>P71</f>
        <v>4.7658135815035623</v>
      </c>
    </row>
    <row r="79" spans="2:25" s="128" customFormat="1" ht="15.75" customHeight="1">
      <c r="F79" s="129"/>
      <c r="I79" s="147">
        <f>MAX(0.0001,X77)</f>
        <v>5.5316271630071242E-3</v>
      </c>
      <c r="J79" s="155">
        <f t="shared" ref="J79:J83" si="21">I79*$F$27</f>
        <v>5.5316271630071245</v>
      </c>
      <c r="K79" s="155">
        <f t="shared" ref="K79:K81" si="22">I79*($F$29*$F$30*$J$34+(1-$F$29))/($F$30*$F$29+(1-$F$29))*$F$27</f>
        <v>3.3516271630071244</v>
      </c>
      <c r="L79" s="155">
        <f t="shared" ref="L79:L81" si="23">I79*$J$34*$F$27</f>
        <v>2.9870786680238472</v>
      </c>
      <c r="M79" s="155">
        <f t="shared" ref="M79:M83" si="24">$K$27*$F$27</f>
        <v>4</v>
      </c>
      <c r="N79" s="155">
        <f t="shared" ref="N79:N83" si="25">($F$29*$L$29+(1-$F$29))*$K$27*$F$27</f>
        <v>6.18</v>
      </c>
      <c r="O79" s="155">
        <f t="shared" ref="O79:O83" si="26">$L$29*$K$27*$F$27</f>
        <v>8.36</v>
      </c>
      <c r="P79" s="155">
        <f t="shared" ref="P79:P81" si="27">(J79+$H$9*M79)/(1+$H$9)</f>
        <v>4.7658135815035623</v>
      </c>
      <c r="Q79" s="155">
        <f t="shared" ref="Q79:Q81" si="28">(K79+$H$9*N79)/(1+$H$9)</f>
        <v>4.7658135815035623</v>
      </c>
      <c r="R79" s="155">
        <f t="shared" ref="R79:R81" si="29">(L79+$H$9*O79)/(1+$H$9)</f>
        <v>5.6735393340119238</v>
      </c>
      <c r="S79" s="155">
        <f t="shared" ref="S79:S81" si="30">P79-MIN(P79:R79)</f>
        <v>0</v>
      </c>
      <c r="T79" s="155">
        <f t="shared" ref="T79:T81" si="31">Q79-MIN(P79:R79)</f>
        <v>0</v>
      </c>
      <c r="U79" s="155">
        <f t="shared" ref="U79:U81" si="32">R79-MIN(P79:R79)</f>
        <v>0.90772575250836152</v>
      </c>
      <c r="W79" s="128" t="s">
        <v>229</v>
      </c>
      <c r="X79" s="149">
        <f>0</f>
        <v>0</v>
      </c>
      <c r="Y79" s="139">
        <f>Y71</f>
        <v>5</v>
      </c>
    </row>
    <row r="80" spans="2:25" s="128" customFormat="1" ht="15.75" customHeight="1">
      <c r="F80" s="129"/>
      <c r="I80" s="147">
        <f>MIN(X83,I81)</f>
        <v>3.3079130434782611E-2</v>
      </c>
      <c r="J80" s="155">
        <f t="shared" si="21"/>
        <v>33.079130434782613</v>
      </c>
      <c r="K80" s="155">
        <f t="shared" si="22"/>
        <v>20.042730434782612</v>
      </c>
      <c r="L80" s="155">
        <f t="shared" si="23"/>
        <v>17.862730434782609</v>
      </c>
      <c r="M80" s="155">
        <f t="shared" si="24"/>
        <v>4</v>
      </c>
      <c r="N80" s="155">
        <f t="shared" si="25"/>
        <v>6.18</v>
      </c>
      <c r="O80" s="155">
        <f t="shared" si="26"/>
        <v>8.36</v>
      </c>
      <c r="P80" s="155">
        <f t="shared" si="27"/>
        <v>18.539565217391306</v>
      </c>
      <c r="Q80" s="155">
        <f t="shared" si="28"/>
        <v>13.111365217391306</v>
      </c>
      <c r="R80" s="155">
        <f t="shared" si="29"/>
        <v>13.111365217391304</v>
      </c>
      <c r="S80" s="155">
        <f t="shared" si="30"/>
        <v>5.4282000000000021</v>
      </c>
      <c r="T80" s="155">
        <f t="shared" si="31"/>
        <v>0</v>
      </c>
      <c r="U80" s="155">
        <f t="shared" si="32"/>
        <v>0</v>
      </c>
    </row>
    <row r="81" spans="6:25" s="128" customFormat="1" ht="15.75" customHeight="1">
      <c r="F81" s="129"/>
      <c r="I81" s="147">
        <v>0.11</v>
      </c>
      <c r="J81" s="155">
        <f t="shared" si="21"/>
        <v>110</v>
      </c>
      <c r="K81" s="155">
        <f t="shared" si="22"/>
        <v>66.649283667621788</v>
      </c>
      <c r="L81" s="155">
        <f t="shared" si="23"/>
        <v>59.4</v>
      </c>
      <c r="M81" s="155">
        <f t="shared" si="24"/>
        <v>4</v>
      </c>
      <c r="N81" s="155">
        <f t="shared" si="25"/>
        <v>6.18</v>
      </c>
      <c r="O81" s="155">
        <f t="shared" si="26"/>
        <v>8.36</v>
      </c>
      <c r="P81" s="155">
        <f t="shared" si="27"/>
        <v>57</v>
      </c>
      <c r="Q81" s="155">
        <f t="shared" si="28"/>
        <v>36.41464183381089</v>
      </c>
      <c r="R81" s="155">
        <f t="shared" si="29"/>
        <v>33.879999999999995</v>
      </c>
      <c r="S81" s="155">
        <f t="shared" si="30"/>
        <v>23.120000000000005</v>
      </c>
      <c r="T81" s="155">
        <f t="shared" si="31"/>
        <v>2.5346418338108947</v>
      </c>
      <c r="U81" s="155">
        <f t="shared" si="32"/>
        <v>0</v>
      </c>
    </row>
    <row r="82" spans="6:25" s="128" customFormat="1" ht="15.75" customHeight="1">
      <c r="F82" s="129"/>
      <c r="N82" s="130"/>
      <c r="O82" s="130"/>
      <c r="P82" s="130"/>
      <c r="Q82" s="130"/>
      <c r="X82" s="128" t="s">
        <v>232</v>
      </c>
    </row>
    <row r="83" spans="6:25" s="128" customFormat="1" ht="15.75" customHeight="1">
      <c r="F83" s="129"/>
      <c r="H83" s="128" t="s">
        <v>331</v>
      </c>
      <c r="I83" s="147">
        <f>P27</f>
        <v>9.4782608695652172E-3</v>
      </c>
      <c r="J83" s="155">
        <f t="shared" si="21"/>
        <v>9.4782608695652169</v>
      </c>
      <c r="K83" s="155">
        <f t="shared" ref="K83" si="33">I83*($F$29*$F$30*$J$34+(1-$F$29))/($F$30*$F$29+(1-$F$29))*$F$27</f>
        <v>5.7429027033761058</v>
      </c>
      <c r="L83" s="155">
        <f t="shared" ref="L83" si="34">I83*$J$34*$F$27</f>
        <v>5.1182608695652183</v>
      </c>
      <c r="M83" s="155">
        <f t="shared" si="24"/>
        <v>4</v>
      </c>
      <c r="N83" s="155">
        <f t="shared" si="25"/>
        <v>6.18</v>
      </c>
      <c r="O83" s="155">
        <f t="shared" si="26"/>
        <v>8.36</v>
      </c>
      <c r="P83" s="155">
        <f t="shared" ref="P83" si="35">(J83+$H$9*M83)/(1+$H$9)</f>
        <v>6.7391304347826084</v>
      </c>
      <c r="Q83" s="155">
        <f t="shared" ref="Q83" si="36">(K83+$H$9*N83)/(1+$H$9)</f>
        <v>5.9614513516880532</v>
      </c>
      <c r="R83" s="155">
        <f t="shared" ref="R83" si="37">(L83+$H$9*O83)/(1+$H$9)</f>
        <v>6.7391304347826093</v>
      </c>
      <c r="S83" s="155">
        <f t="shared" ref="S83" si="38">P83-MIN(P83:R83)</f>
        <v>0.77767908309455525</v>
      </c>
      <c r="T83" s="155">
        <f t="shared" ref="T83" si="39">Q83-MIN(P83:R83)</f>
        <v>0</v>
      </c>
      <c r="U83" s="155">
        <f t="shared" ref="U83" si="40">R83-MIN(P83:R83)</f>
        <v>0.77767908309455613</v>
      </c>
      <c r="X83" s="147">
        <f>I72</f>
        <v>3.3079130434782611E-2</v>
      </c>
      <c r="Y83" s="152">
        <f>I72</f>
        <v>3.3079130434782611E-2</v>
      </c>
    </row>
    <row r="84" spans="6:25" s="128" customFormat="1" ht="15.75" customHeight="1">
      <c r="F84" s="129"/>
      <c r="N84" s="130"/>
      <c r="O84" s="130"/>
      <c r="P84" s="130"/>
      <c r="Q84" s="130"/>
      <c r="W84" s="136" t="s">
        <v>228</v>
      </c>
      <c r="X84" s="150">
        <v>0</v>
      </c>
      <c r="Y84" s="150">
        <f>R72</f>
        <v>13.111365217391304</v>
      </c>
    </row>
    <row r="85" spans="6:25" s="128" customFormat="1" ht="15.75" customHeight="1">
      <c r="F85" s="129"/>
      <c r="J85" s="150"/>
      <c r="K85" s="150"/>
      <c r="L85" s="149"/>
      <c r="M85" s="150"/>
      <c r="N85" s="150"/>
      <c r="O85" s="150"/>
      <c r="P85" s="150"/>
      <c r="Q85" s="150"/>
      <c r="R85" s="150"/>
      <c r="S85" s="150"/>
      <c r="T85" s="150"/>
      <c r="U85" s="150"/>
      <c r="W85" s="128" t="s">
        <v>229</v>
      </c>
      <c r="X85" s="150">
        <v>0</v>
      </c>
      <c r="Y85" s="150">
        <f>Y71</f>
        <v>5</v>
      </c>
    </row>
    <row r="86" spans="6:25" s="128" customFormat="1" ht="15.75" customHeight="1">
      <c r="F86" s="129"/>
      <c r="J86" s="150"/>
      <c r="K86" s="150"/>
      <c r="L86" s="149"/>
      <c r="M86" s="150"/>
      <c r="N86" s="150"/>
      <c r="O86" s="150"/>
      <c r="P86" s="150"/>
      <c r="Q86" s="150"/>
      <c r="R86" s="150"/>
      <c r="S86" s="150"/>
      <c r="T86" s="150"/>
      <c r="U86" s="150"/>
    </row>
    <row r="87" spans="6:25" s="128" customFormat="1" ht="15.75" customHeight="1">
      <c r="F87" s="129"/>
      <c r="J87" s="150"/>
      <c r="K87" s="150"/>
      <c r="L87" s="149"/>
      <c r="M87" s="150"/>
      <c r="N87" s="150"/>
      <c r="O87" s="150"/>
      <c r="P87" s="150"/>
      <c r="Q87" s="150"/>
      <c r="R87" s="150"/>
      <c r="S87" s="150"/>
      <c r="T87" s="150"/>
      <c r="U87" s="150"/>
    </row>
    <row r="88" spans="6:25" s="128" customFormat="1" ht="15.75" customHeight="1">
      <c r="F88" s="129"/>
      <c r="J88" s="150"/>
      <c r="K88" s="150"/>
      <c r="L88" s="149"/>
      <c r="M88" s="150"/>
      <c r="N88" s="150"/>
      <c r="O88" s="150"/>
      <c r="P88" s="150"/>
      <c r="Q88" s="150"/>
      <c r="R88" s="150"/>
      <c r="S88" s="150"/>
      <c r="T88" s="150"/>
      <c r="U88" s="150"/>
      <c r="X88" s="128" t="str">
        <f>H75</f>
        <v>Case R11e (p=5%)</v>
      </c>
    </row>
    <row r="89" spans="6:25" s="128" customFormat="1" ht="15.75" customHeight="1">
      <c r="F89" s="129"/>
      <c r="J89" s="150"/>
      <c r="K89" s="150"/>
      <c r="L89" s="149"/>
      <c r="M89" s="150"/>
      <c r="N89" s="150"/>
      <c r="O89" s="150"/>
      <c r="P89" s="150"/>
      <c r="Q89" s="150"/>
      <c r="R89" s="150"/>
      <c r="S89" s="150"/>
      <c r="T89" s="150"/>
      <c r="U89" s="150"/>
      <c r="X89" s="130">
        <f>F28</f>
        <v>0.05</v>
      </c>
      <c r="Y89" s="130">
        <f>X89</f>
        <v>0.05</v>
      </c>
    </row>
    <row r="90" spans="6:25" s="128" customFormat="1" ht="15.75" customHeight="1">
      <c r="F90" s="129"/>
      <c r="J90" s="150"/>
      <c r="K90" s="150"/>
      <c r="L90" s="149"/>
      <c r="M90" s="150"/>
      <c r="N90" s="150"/>
      <c r="O90" s="150"/>
      <c r="P90" s="150"/>
      <c r="Q90" s="150"/>
      <c r="R90" s="150"/>
      <c r="S90" s="150"/>
      <c r="T90" s="150"/>
      <c r="U90" s="150"/>
      <c r="W90" s="136" t="s">
        <v>228</v>
      </c>
      <c r="X90" s="149">
        <v>0</v>
      </c>
      <c r="Y90" s="149">
        <f>MIN(P73:R73)</f>
        <v>17.68</v>
      </c>
    </row>
    <row r="91" spans="6:25" s="128" customFormat="1" ht="15.75" customHeight="1">
      <c r="F91" s="129"/>
      <c r="J91" s="150"/>
      <c r="K91" s="150"/>
      <c r="L91" s="149"/>
      <c r="M91" s="150"/>
      <c r="N91" s="150"/>
      <c r="O91" s="150"/>
      <c r="P91" s="150"/>
      <c r="Q91" s="150"/>
      <c r="R91" s="150"/>
      <c r="S91" s="150"/>
      <c r="T91" s="150"/>
      <c r="U91" s="150"/>
      <c r="W91" s="128" t="s">
        <v>229</v>
      </c>
      <c r="X91" s="149">
        <v>0</v>
      </c>
      <c r="Y91" s="149">
        <f>Y71</f>
        <v>5</v>
      </c>
    </row>
    <row r="92" spans="6:25" s="128" customFormat="1" ht="15.75" customHeight="1">
      <c r="F92" s="129"/>
      <c r="J92" s="150"/>
      <c r="K92" s="150"/>
      <c r="L92" s="149"/>
      <c r="M92" s="150"/>
      <c r="N92" s="150"/>
      <c r="O92" s="150"/>
      <c r="P92" s="150"/>
      <c r="Q92" s="150"/>
      <c r="R92" s="150"/>
      <c r="S92" s="150"/>
      <c r="T92" s="150"/>
      <c r="U92" s="150"/>
    </row>
    <row r="93" spans="6:25" s="128" customFormat="1" ht="15.75" customHeight="1">
      <c r="F93" s="129"/>
      <c r="J93" s="150"/>
      <c r="K93" s="150"/>
      <c r="L93" s="149"/>
      <c r="M93" s="150"/>
      <c r="N93" s="150"/>
      <c r="O93" s="150"/>
      <c r="P93" s="150"/>
      <c r="Q93" s="150"/>
      <c r="R93" s="150"/>
      <c r="S93" s="150"/>
      <c r="T93" s="150"/>
      <c r="U93" s="150"/>
    </row>
    <row r="94" spans="6:25" s="128" customFormat="1" ht="15.75" customHeight="1">
      <c r="F94" s="129"/>
      <c r="J94" s="150"/>
      <c r="K94" s="150"/>
      <c r="L94" s="149"/>
      <c r="M94" s="150"/>
      <c r="N94" s="150"/>
      <c r="O94" s="150"/>
      <c r="P94" s="150"/>
      <c r="Q94" s="150"/>
      <c r="R94" s="150"/>
      <c r="S94" s="150"/>
      <c r="T94" s="150"/>
      <c r="U94" s="150"/>
    </row>
    <row r="95" spans="6:25" s="128" customFormat="1" ht="15.75" customHeight="1">
      <c r="F95" s="129"/>
      <c r="J95" s="150"/>
      <c r="K95" s="150"/>
      <c r="L95" s="149"/>
      <c r="M95" s="150"/>
      <c r="N95" s="150"/>
      <c r="O95" s="150"/>
      <c r="P95" s="150"/>
      <c r="Q95" s="150"/>
      <c r="R95" s="150"/>
      <c r="S95" s="150"/>
      <c r="T95" s="150"/>
      <c r="U95" s="150"/>
    </row>
    <row r="96" spans="6:25" s="128" customFormat="1" ht="15.75" customHeight="1">
      <c r="F96" s="129"/>
      <c r="J96" s="150"/>
      <c r="K96" s="150"/>
      <c r="L96" s="149"/>
      <c r="M96" s="150"/>
      <c r="N96" s="150"/>
      <c r="O96" s="150"/>
      <c r="P96" s="150"/>
      <c r="Q96" s="150"/>
      <c r="R96" s="150"/>
      <c r="S96" s="150"/>
      <c r="T96" s="150"/>
      <c r="U96" s="150"/>
    </row>
    <row r="97" spans="6:25" s="128" customFormat="1" ht="15.75" customHeight="1">
      <c r="F97" s="129"/>
      <c r="J97" s="150"/>
      <c r="K97" s="150"/>
      <c r="L97" s="149"/>
      <c r="M97" s="150"/>
      <c r="N97" s="150"/>
      <c r="O97" s="150"/>
      <c r="P97" s="150"/>
      <c r="Q97" s="150"/>
      <c r="R97" s="150"/>
      <c r="S97" s="150"/>
      <c r="T97" s="150"/>
      <c r="U97" s="150"/>
    </row>
    <row r="98" spans="6:25" s="128" customFormat="1">
      <c r="F98" s="129"/>
      <c r="J98" s="150"/>
      <c r="K98" s="150"/>
      <c r="L98" s="149"/>
      <c r="M98" s="150"/>
      <c r="N98" s="150"/>
      <c r="O98" s="150"/>
      <c r="P98" s="150"/>
      <c r="Q98" s="150"/>
      <c r="R98" s="150"/>
      <c r="S98" s="150"/>
      <c r="T98" s="150"/>
      <c r="U98" s="150"/>
    </row>
    <row r="99" spans="6:25" s="128" customFormat="1">
      <c r="F99" s="129"/>
      <c r="J99" s="150"/>
      <c r="K99" s="150"/>
      <c r="L99" s="149"/>
      <c r="M99" s="150"/>
      <c r="N99" s="150"/>
      <c r="O99" s="150"/>
      <c r="P99" s="150"/>
      <c r="Q99" s="150"/>
      <c r="R99" s="150"/>
      <c r="S99" s="150"/>
      <c r="T99" s="150"/>
      <c r="U99" s="150"/>
      <c r="X99" s="130"/>
      <c r="Y99" s="130"/>
    </row>
    <row r="100" spans="6:25">
      <c r="J100" s="93"/>
      <c r="K100" s="93"/>
      <c r="L100" s="94"/>
      <c r="M100" s="93"/>
      <c r="N100" s="93"/>
      <c r="O100" s="93"/>
      <c r="P100" s="93"/>
      <c r="Q100" s="93"/>
      <c r="R100" s="93"/>
      <c r="S100" s="93"/>
      <c r="T100" s="93"/>
      <c r="U100" s="93"/>
    </row>
    <row r="101" spans="6:25">
      <c r="J101" s="93"/>
      <c r="K101" s="93"/>
      <c r="L101" s="94"/>
      <c r="M101" s="93"/>
      <c r="N101" s="93"/>
      <c r="O101" s="93"/>
      <c r="P101" s="93"/>
      <c r="Q101" s="93"/>
      <c r="R101" s="93"/>
      <c r="S101" s="93"/>
      <c r="T101" s="93"/>
      <c r="U101" s="93"/>
    </row>
    <row r="102" spans="6:25">
      <c r="J102" s="93"/>
      <c r="K102" s="93"/>
      <c r="L102" s="94"/>
      <c r="M102" s="93"/>
      <c r="N102" s="93"/>
      <c r="O102" s="93"/>
      <c r="P102" s="93"/>
      <c r="Q102" s="93"/>
      <c r="R102" s="93"/>
      <c r="S102" s="93"/>
      <c r="T102" s="93"/>
      <c r="U102" s="93"/>
    </row>
    <row r="103" spans="6:25">
      <c r="J103" s="93"/>
      <c r="K103" s="93"/>
      <c r="L103" s="94"/>
      <c r="M103" s="93"/>
      <c r="N103" s="93"/>
      <c r="O103" s="93"/>
      <c r="P103" s="93"/>
      <c r="Q103" s="93"/>
      <c r="R103" s="93"/>
      <c r="S103" s="93"/>
      <c r="T103" s="93"/>
      <c r="U103" s="93"/>
    </row>
  </sheetData>
  <sheetProtection algorithmName="SHA-512" hashValue="kVPBa/Lyw8mfL5OasIoaeA9PdRetNh+mRREbGdyC37LDFXjrh5SkVoQk0ji7XXrpAWBwklWdHoXhGyCVbiyLfA==" saltValue="ufgBM92bxkWy6zyFvD6ERA==" spinCount="100000" sheet="1" objects="1" scenarios="1"/>
  <mergeCells count="77">
    <mergeCell ref="J76:L76"/>
    <mergeCell ref="M76:O76"/>
    <mergeCell ref="P76:R76"/>
    <mergeCell ref="S76:U76"/>
    <mergeCell ref="G65:H65"/>
    <mergeCell ref="G66:H66"/>
    <mergeCell ref="G67:H67"/>
    <mergeCell ref="G61:H61"/>
    <mergeCell ref="G62:H62"/>
    <mergeCell ref="G63:H63"/>
    <mergeCell ref="G64:H64"/>
    <mergeCell ref="R31:S31"/>
    <mergeCell ref="G56:H56"/>
    <mergeCell ref="G57:H57"/>
    <mergeCell ref="G58:H58"/>
    <mergeCell ref="G59:H59"/>
    <mergeCell ref="G60:H60"/>
    <mergeCell ref="G51:H51"/>
    <mergeCell ref="G52:H52"/>
    <mergeCell ref="G53:H53"/>
    <mergeCell ref="G54:H54"/>
    <mergeCell ref="G55:H55"/>
    <mergeCell ref="G46:H46"/>
    <mergeCell ref="G47:H47"/>
    <mergeCell ref="G48:H48"/>
    <mergeCell ref="G49:H49"/>
    <mergeCell ref="G50:H50"/>
    <mergeCell ref="G41:H41"/>
    <mergeCell ref="G42:H42"/>
    <mergeCell ref="G43:H43"/>
    <mergeCell ref="G44:H44"/>
    <mergeCell ref="G45:H45"/>
    <mergeCell ref="A1:U1"/>
    <mergeCell ref="C17:U19"/>
    <mergeCell ref="C9:F9"/>
    <mergeCell ref="C3:U3"/>
    <mergeCell ref="G40:H40"/>
    <mergeCell ref="G22:U22"/>
    <mergeCell ref="B26:F26"/>
    <mergeCell ref="N26:S26"/>
    <mergeCell ref="B27:E27"/>
    <mergeCell ref="N27:O27"/>
    <mergeCell ref="P27:Q27"/>
    <mergeCell ref="R27:S27"/>
    <mergeCell ref="B29:E29"/>
    <mergeCell ref="G29:H29"/>
    <mergeCell ref="N29:O29"/>
    <mergeCell ref="P29:Q29"/>
    <mergeCell ref="B30:E30"/>
    <mergeCell ref="J30:L30"/>
    <mergeCell ref="B31:F31"/>
    <mergeCell ref="D2:U2"/>
    <mergeCell ref="P13:U15"/>
    <mergeCell ref="C14:N15"/>
    <mergeCell ref="R29:S29"/>
    <mergeCell ref="B28:E28"/>
    <mergeCell ref="J28:L28"/>
    <mergeCell ref="N28:O28"/>
    <mergeCell ref="N30:O30"/>
    <mergeCell ref="N31:O31"/>
    <mergeCell ref="P31:Q31"/>
    <mergeCell ref="P28:Q28"/>
    <mergeCell ref="R28:S28"/>
    <mergeCell ref="B36:B39"/>
    <mergeCell ref="C36:C39"/>
    <mergeCell ref="D36:I36"/>
    <mergeCell ref="N36:P36"/>
    <mergeCell ref="K39:O39"/>
    <mergeCell ref="G39:H39"/>
    <mergeCell ref="R32:S32"/>
    <mergeCell ref="B33:E33"/>
    <mergeCell ref="B34:I34"/>
    <mergeCell ref="N34:P34"/>
    <mergeCell ref="N35:P35"/>
    <mergeCell ref="Q32:Q33"/>
    <mergeCell ref="B32:F32"/>
    <mergeCell ref="N32:P33"/>
  </mergeCells>
  <dataValidations count="2">
    <dataValidation type="list" allowBlank="1" showInputMessage="1" showErrorMessage="1" sqref="D2:U2" xr:uid="{544FE0CB-8C7E-48E0-BFC9-7A1BE0FC1386}">
      <formula1>$P$40:$P$67</formula1>
    </dataValidation>
    <dataValidation type="list" allowBlank="1" showInputMessage="1" showErrorMessage="1" sqref="G4" xr:uid="{2676C263-9E6B-40ED-AFFD-D30CE9DE3361}">
      <formula1>$K$26:$L$26</formula1>
    </dataValidation>
  </dataValidations>
  <hyperlinks>
    <hyperlink ref="G22" r:id="rId1" xr:uid="{68A0ACC9-79AF-4D37-87C1-B802AFAE0263}"/>
    <hyperlink ref="R21" r:id="rId2" xr:uid="{52040DBD-7C00-4FAD-81D2-A085324B1B9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6AE7-7611-4959-938D-B2604BCF5350}">
  <dimension ref="A1:AI99"/>
  <sheetViews>
    <sheetView zoomScaleNormal="100" workbookViewId="0">
      <selection activeCell="H11" sqref="H11"/>
    </sheetView>
  </sheetViews>
  <sheetFormatPr defaultRowHeight="15"/>
  <cols>
    <col min="1" max="1" width="2.85546875" style="1" customWidth="1"/>
    <col min="2" max="2" width="7" customWidth="1"/>
    <col min="3" max="3" width="10.28515625" customWidth="1"/>
    <col min="4" max="4" width="6.85546875" customWidth="1"/>
    <col min="6" max="6" width="11" style="2" customWidth="1"/>
    <col min="7" max="7" width="8.5703125" customWidth="1"/>
    <col min="8" max="8" width="9.140625" customWidth="1"/>
    <col min="9" max="9" width="7.42578125" customWidth="1"/>
    <col min="10" max="10" width="10" customWidth="1"/>
    <col min="11" max="11" width="9.7109375" bestFit="1" customWidth="1"/>
    <col min="12" max="12" width="9.5703125" bestFit="1" customWidth="1"/>
    <col min="13" max="13" width="9.140625" customWidth="1"/>
    <col min="14" max="15" width="8" style="4" customWidth="1"/>
    <col min="16" max="16" width="9.28515625" style="4" bestFit="1" customWidth="1"/>
    <col min="17" max="17" width="9.5703125" style="4" bestFit="1" customWidth="1"/>
    <col min="18" max="18" width="7.42578125" customWidth="1"/>
    <col min="19" max="19" width="8.85546875" customWidth="1"/>
    <col min="20" max="20" width="7.42578125" customWidth="1"/>
    <col min="21" max="21" width="8.85546875" customWidth="1"/>
    <col min="22" max="22" width="2.5703125" style="1" customWidth="1"/>
    <col min="24" max="24" width="14" customWidth="1"/>
    <col min="25" max="25" width="10.85546875" customWidth="1"/>
  </cols>
  <sheetData>
    <row r="1" spans="1:22" s="8" customFormat="1" ht="22.5" customHeight="1" thickBot="1">
      <c r="A1" s="1"/>
      <c r="B1" s="277" t="str">
        <f>"CASE "&amp;B3&amp;": "&amp;VLOOKUP(B3,Rec_Table,5,FALSE)</f>
        <v>CASE R16a: Women from the general population.</v>
      </c>
      <c r="C1" s="278"/>
      <c r="D1" s="278"/>
      <c r="E1" s="278"/>
      <c r="F1" s="278"/>
      <c r="G1" s="278"/>
      <c r="H1" s="278"/>
      <c r="I1" s="278"/>
      <c r="J1" s="278"/>
      <c r="K1" s="278"/>
      <c r="L1" s="278"/>
      <c r="M1" s="278"/>
      <c r="N1" s="278"/>
      <c r="O1" s="278"/>
      <c r="P1" s="278"/>
      <c r="Q1" s="278"/>
      <c r="R1" s="278"/>
      <c r="S1" s="278"/>
      <c r="T1" s="278"/>
      <c r="U1" s="279"/>
      <c r="V1" s="1"/>
    </row>
    <row r="2" spans="1:22" s="8" customFormat="1" ht="15" customHeight="1" thickBot="1">
      <c r="A2" s="1"/>
      <c r="C2" s="13" t="s">
        <v>130</v>
      </c>
      <c r="D2" s="280" t="s">
        <v>332</v>
      </c>
      <c r="E2" s="280"/>
      <c r="F2" s="280"/>
      <c r="G2" s="280"/>
      <c r="H2" s="280"/>
      <c r="I2" s="280"/>
      <c r="J2" s="280"/>
      <c r="K2" s="280"/>
      <c r="L2" s="280"/>
      <c r="M2" s="280"/>
      <c r="N2" s="280"/>
      <c r="O2" s="280"/>
      <c r="P2" s="280"/>
      <c r="Q2" s="280"/>
      <c r="R2" s="280"/>
      <c r="S2" s="280"/>
      <c r="T2" s="280"/>
      <c r="U2" s="280"/>
      <c r="V2" s="1"/>
    </row>
    <row r="3" spans="1:22" s="8" customFormat="1" ht="15" customHeight="1">
      <c r="A3" s="1"/>
      <c r="B3" s="28" t="str">
        <f>LEFT(D2,SEARCH(":",D2)-1)</f>
        <v>R16a</v>
      </c>
      <c r="C3" s="313" t="str">
        <f>"We assume that the risk of "&amp;VLOOKUP(B3,'R15-R20'!Rec_Table,9,FALSE)&amp;" on "&amp;VLOOKUP(B3,'R15-R20'!Rec_Table,8,FALSE)&amp;" is "&amp; L32 &amp;" ("&amp;ROUND(100*L32,VLOOKUP(B3,'R15-R20'!INPUT_Table,8,FALSE))&amp;"%),  the risk of "&amp;VLOOKUP(B3,'R15-R20'!Rec_Table,9,FALSE)&amp;" not on treatment is "&amp; L33 &amp;" ("&amp;ROUND(100*L33,VLOOKUP(B3,'R15-R20'!INPUT_Table,8,FALSE))&amp;"%), and the risk for VTE for a patient on "&amp;VLOOKUP(B3,'R15-R20'!Rec_Table,8,FALSE)&amp;" is "&amp;G29&amp;" ("&amp;ROUND(100*G29,VLOOKUP(B3,'R15-R20'!INPUT_Table,8,FALSE))&amp;"%) while the risk while not on treatment is "&amp;H29&amp;" ("&amp;ROUND(100*H29,VLOOKUP(B3,'R15-R20'!INPUT_Table,8,FALSE))&amp;"%)."</f>
        <v>We assume that the risk of severe symptoms of the menopause on hormone replacement therapy (HRT) estrogen alone is 0.1077 (10.77%),  the risk of severe symptoms of the menopause not on treatment is 0.3659 (36.59%), and the risk for VTE for a patient on hormone replacement therapy (HRT) estrogen alone is 0.00444 (0.444%) while the risk while not on treatment is 0.002 (0.2%).</v>
      </c>
      <c r="D3" s="314"/>
      <c r="E3" s="314"/>
      <c r="F3" s="314"/>
      <c r="G3" s="314"/>
      <c r="H3" s="314"/>
      <c r="I3" s="314"/>
      <c r="J3" s="314"/>
      <c r="K3" s="314"/>
      <c r="L3" s="314"/>
      <c r="M3" s="314"/>
      <c r="N3" s="314"/>
      <c r="O3" s="314"/>
      <c r="P3" s="314"/>
      <c r="Q3" s="314"/>
      <c r="R3" s="314"/>
      <c r="S3" s="314"/>
      <c r="T3" s="314"/>
      <c r="U3" s="315"/>
      <c r="V3" s="1"/>
    </row>
    <row r="4" spans="1:22" s="8" customFormat="1" ht="15" customHeight="1" thickBot="1">
      <c r="A4" s="1"/>
      <c r="B4" s="28"/>
      <c r="C4" s="316"/>
      <c r="D4" s="317"/>
      <c r="E4" s="317"/>
      <c r="F4" s="317"/>
      <c r="G4" s="317"/>
      <c r="H4" s="317"/>
      <c r="I4" s="317"/>
      <c r="J4" s="317"/>
      <c r="K4" s="317"/>
      <c r="L4" s="317"/>
      <c r="M4" s="317"/>
      <c r="N4" s="317"/>
      <c r="O4" s="317"/>
      <c r="P4" s="317"/>
      <c r="Q4" s="317"/>
      <c r="R4" s="317"/>
      <c r="S4" s="317"/>
      <c r="T4" s="317"/>
      <c r="U4" s="318"/>
      <c r="V4" s="1"/>
    </row>
    <row r="5" spans="1:22" s="8" customFormat="1" ht="6" customHeight="1" thickBot="1">
      <c r="A5" s="1"/>
      <c r="B5" s="13"/>
      <c r="C5" s="29"/>
      <c r="D5" s="29"/>
      <c r="E5" s="29"/>
      <c r="F5" s="29"/>
      <c r="G5" s="14"/>
      <c r="H5" s="14"/>
      <c r="I5" s="13"/>
      <c r="J5" s="13"/>
      <c r="K5" s="13"/>
      <c r="L5" s="13"/>
      <c r="M5" s="13"/>
      <c r="N5" s="12"/>
      <c r="O5" s="12"/>
      <c r="P5" s="12"/>
      <c r="Q5" s="10"/>
      <c r="V5" s="1"/>
    </row>
    <row r="6" spans="1:22" s="8" customFormat="1" ht="15" customHeight="1">
      <c r="A6" s="1"/>
      <c r="B6" s="30" t="s">
        <v>136</v>
      </c>
      <c r="C6" s="31" t="str">
        <f>"When not testing "&amp;F28&amp;" patients for thrombophilia and  treating all of them,"</f>
        <v>When not testing 1000 patients for thrombophilia and  treating all of them,</v>
      </c>
      <c r="D6" s="32"/>
      <c r="E6" s="32"/>
      <c r="F6" s="33"/>
      <c r="G6" s="31"/>
      <c r="H6" s="31"/>
      <c r="I6" s="31"/>
      <c r="J6" s="31"/>
      <c r="K6" s="31" t="str">
        <f>ROUND(Q35,VLOOKUP(B3,INPUT_Table,8,FALSE))&amp;" VTE recurrences and "</f>
        <v xml:space="preserve">4.44 VTE recurrences and </v>
      </c>
      <c r="L6" s="31"/>
      <c r="M6" s="31"/>
      <c r="N6" s="45" t="str">
        <f>ROUND(R35,VLOOKUP(B3,INPUT_Table,8,FALSE))&amp;"  "&amp;VLOOKUP(B3,'R15-R20'!Rec_Table,9,FALSE)&amp;"  will occur per year."</f>
        <v>107.7  severe symptoms of the menopause  will occur per year.</v>
      </c>
      <c r="O6" s="25"/>
      <c r="P6" s="25"/>
      <c r="Q6" s="34"/>
      <c r="R6" s="32"/>
      <c r="S6" s="32"/>
      <c r="T6" s="32"/>
      <c r="U6" s="35"/>
      <c r="V6" s="1"/>
    </row>
    <row r="7" spans="1:22" s="8" customFormat="1" ht="15" customHeight="1">
      <c r="A7" s="1"/>
      <c r="B7" s="36" t="s">
        <v>135</v>
      </c>
      <c r="C7" s="13" t="str">
        <f>"When testing "&amp;F28&amp;" patients and not treating the "&amp;G32&amp;" positives,  "</f>
        <v xml:space="preserve">When testing 1000 patients and not treating the 68.5 positives,  </v>
      </c>
      <c r="F7" s="14"/>
      <c r="G7" s="13"/>
      <c r="H7" s="13"/>
      <c r="I7" s="13"/>
      <c r="J7" s="13"/>
      <c r="K7" s="13" t="str">
        <f>ROUND(Q36,VLOOKUP(B3,INPUT_Table,8,FALSE))&amp;" VTE recurrences and "</f>
        <v xml:space="preserve">4.1548 VTE recurrences and </v>
      </c>
      <c r="L7" s="13"/>
      <c r="M7" s="13"/>
      <c r="N7" s="46" t="str">
        <f>ROUND(R36,VLOOKUP(B3,INPUT_Table,8,FALSE))&amp;" "&amp;VLOOKUP(B3,'R15-R20'!Rec_Table,9,FALSE)&amp;" will occur per year."</f>
        <v>125.3867 severe symptoms of the menopause will occur per year.</v>
      </c>
      <c r="O7" s="12"/>
      <c r="P7" s="12"/>
      <c r="Q7" s="10"/>
      <c r="U7" s="37"/>
      <c r="V7" s="1"/>
    </row>
    <row r="8" spans="1:22" s="8" customFormat="1" ht="15" customHeight="1" thickBot="1">
      <c r="A8" s="1"/>
      <c r="B8" s="38" t="s">
        <v>134</v>
      </c>
      <c r="C8" s="39" t="str">
        <f>"When not testing "&amp;F28&amp;" patients for thrombophilia and not treating any of them,  "</f>
        <v xml:space="preserve">When not testing 1000 patients for thrombophilia and not treating any of them,  </v>
      </c>
      <c r="D8" s="40"/>
      <c r="E8" s="40"/>
      <c r="F8" s="41"/>
      <c r="G8" s="39"/>
      <c r="H8" s="39"/>
      <c r="I8" s="39"/>
      <c r="J8" s="39"/>
      <c r="K8" s="39" t="str">
        <f>ROUND(Q37,VLOOKUP(B3,INPUT_Table,8,FALSE))&amp;" VTE recurrences  and "</f>
        <v xml:space="preserve">2 VTE recurrences  and </v>
      </c>
      <c r="L8" s="39"/>
      <c r="M8" s="39"/>
      <c r="N8" s="47" t="str">
        <f>ROUND(R37,VLOOKUP(B3,INPUT_Table,8,FALSE))&amp;" "&amp;VLOOKUP(B3,'R15-R20'!Rec_Table,9,FALSE)&amp;" will occur per year."</f>
        <v>365.9 severe symptoms of the menopause will occur per year.</v>
      </c>
      <c r="O8" s="26"/>
      <c r="P8" s="26"/>
      <c r="Q8" s="42"/>
      <c r="R8" s="40"/>
      <c r="S8" s="40"/>
      <c r="T8" s="40"/>
      <c r="U8" s="43"/>
      <c r="V8" s="1"/>
    </row>
    <row r="9" spans="1:22" s="8" customFormat="1" ht="21" customHeight="1">
      <c r="A9" s="1"/>
      <c r="B9" s="13" t="s">
        <v>137</v>
      </c>
      <c r="C9" s="13"/>
      <c r="E9" s="50" t="str">
        <f>"(Note: since the relative risk of VTE for "&amp;VLOOKUP(B3,'R15-R20'!Rec_Table,8,FALSE)&amp;", RR = "&amp;VLOOKUP(B3,'R15-R20'!INPUT_Table,5,FALSE)&amp;" is larger than 1, the recommendations are reversed."</f>
        <v>(Note: since the relative risk of VTE for hormone replacement therapy (HRT) estrogen alone, RR = 2.22 is larger than 1, the recommendations are reversed.</v>
      </c>
      <c r="F9" s="14"/>
      <c r="G9" s="13"/>
      <c r="H9" s="13"/>
      <c r="I9" s="13"/>
      <c r="J9" s="13"/>
      <c r="K9" s="13"/>
      <c r="L9" s="13"/>
      <c r="M9" s="13"/>
      <c r="N9" s="12"/>
      <c r="O9" s="12"/>
      <c r="P9" s="12"/>
      <c r="Q9" s="10"/>
      <c r="V9" s="1"/>
    </row>
    <row r="10" spans="1:22" s="8" customFormat="1" ht="16.350000000000001" customHeight="1">
      <c r="A10" s="1"/>
      <c r="B10" s="13"/>
      <c r="C10" s="281" t="s">
        <v>138</v>
      </c>
      <c r="D10" s="281"/>
      <c r="E10" s="281"/>
      <c r="F10" s="282"/>
      <c r="G10" s="5" t="s">
        <v>139</v>
      </c>
      <c r="H10" s="127">
        <v>1</v>
      </c>
      <c r="I10" s="13"/>
      <c r="J10" s="13"/>
      <c r="K10" s="13" t="str">
        <f>"Acceptable regret (# of cases per "&amp;F28&amp;")"</f>
        <v>Acceptable regret (# of cases per 1000)</v>
      </c>
      <c r="L10" s="13"/>
      <c r="M10" s="13"/>
      <c r="N10" s="12"/>
      <c r="O10" s="12" t="s">
        <v>140</v>
      </c>
      <c r="P10" s="127">
        <v>5</v>
      </c>
      <c r="Q10" s="10"/>
      <c r="V10" s="1"/>
    </row>
    <row r="11" spans="1:22" s="8" customFormat="1" ht="15" customHeight="1">
      <c r="A11" s="1"/>
      <c r="B11" s="29" t="s">
        <v>143</v>
      </c>
      <c r="C11" s="13" t="str">
        <f>"If the risk for VTE is below the treatment threshold ("&amp;ROUND(100*N28,4)&amp;"%), the best strategy is to not to test and to administer treatment."</f>
        <v>If the risk for VTE is below the treatment threshold (12.4021%), the best strategy is to not to test and to administer treatment.</v>
      </c>
      <c r="F11" s="14"/>
      <c r="G11" s="13"/>
      <c r="H11" s="13"/>
      <c r="I11" s="13"/>
      <c r="J11" s="13"/>
      <c r="K11" s="13"/>
      <c r="L11" s="13"/>
      <c r="M11" s="13"/>
      <c r="N11" s="12"/>
      <c r="O11" s="12"/>
      <c r="P11" s="12"/>
      <c r="Q11" s="10"/>
      <c r="V11" s="1"/>
    </row>
    <row r="12" spans="1:22" s="8" customFormat="1" ht="15" customHeight="1">
      <c r="A12" s="1"/>
      <c r="B12" s="29" t="s">
        <v>142</v>
      </c>
      <c r="C12" s="13" t="str">
        <f>"If the risk for VTE is between the testing threshold ("&amp;ROUND(100*R28,4)&amp;"%) and the treatment threshold ("&amp;ROUND(100*N28,4)&amp;"%), the best strategy  is to test and treat if the test is not positive."</f>
        <v>If the risk for VTE is between the testing threshold (22.3237%) and the treatment threshold (12.4021%), the best strategy  is to test and treat if the test is not positive.</v>
      </c>
      <c r="E12" s="13"/>
      <c r="F12" s="14"/>
      <c r="G12" s="13"/>
      <c r="H12" s="13"/>
      <c r="I12" s="13"/>
      <c r="J12" s="13"/>
      <c r="K12" s="13"/>
      <c r="L12" s="13"/>
      <c r="M12" s="13"/>
      <c r="N12" s="12"/>
      <c r="O12" s="12"/>
      <c r="P12" s="12"/>
      <c r="Q12" s="10"/>
      <c r="V12" s="1"/>
    </row>
    <row r="13" spans="1:22" s="8" customFormat="1" ht="15" customHeight="1" thickBot="1">
      <c r="A13" s="1"/>
      <c r="B13" s="29" t="s">
        <v>141</v>
      </c>
      <c r="C13" s="13" t="str">
        <f>"If the risk for VTE is above the testing threshold ("&amp;ROUND(100*R28,4)&amp;"%), the best strategy is to not to test and not to treat."</f>
        <v>If the risk for VTE is above the testing threshold (22.3237%), the best strategy is to not to test and not to treat.</v>
      </c>
      <c r="E13" s="13"/>
      <c r="F13" s="14"/>
      <c r="G13" s="13"/>
      <c r="H13" s="13"/>
      <c r="I13" s="13"/>
      <c r="J13" s="13"/>
      <c r="K13" s="13"/>
      <c r="L13" s="13"/>
      <c r="M13" s="13"/>
      <c r="N13" s="12"/>
      <c r="O13" s="12"/>
      <c r="P13" s="12"/>
      <c r="Q13" s="10"/>
      <c r="V13" s="1"/>
    </row>
    <row r="14" spans="1:22" s="9" customFormat="1" ht="15" customHeight="1" thickBot="1">
      <c r="A14" s="57"/>
      <c r="B14" s="44" t="s">
        <v>144</v>
      </c>
      <c r="C14" s="29"/>
      <c r="D14" s="13"/>
      <c r="E14" s="13"/>
      <c r="F14" s="13"/>
      <c r="G14" s="13"/>
      <c r="H14" s="13"/>
      <c r="I14" s="13"/>
      <c r="J14" s="13"/>
      <c r="K14" s="13"/>
      <c r="L14" s="13"/>
      <c r="M14" s="13"/>
      <c r="N14" s="13"/>
      <c r="O14" s="13"/>
      <c r="P14" s="298" t="str">
        <f>IF(IF(F29&lt;N28,"Rx",IF(F29&gt;R28,"NoRx","Test"))=VLOOKUP(B3,Rec_Table,4,FALSE), "Decision theory (EUT) agrees with ASH thrombophilia guidelines.","Decision theory (EUT) disagrees with ASH thrombophilia guidelines!")&amp; " According to acceptable regret theory the acceptable strateg"&amp;IF(W65&gt;1,"ies are: ","y is: ")&amp;IF(S67,S68,"")&amp;" "&amp;IF(T67,T68,"")&amp;" "&amp;IF(U67,U68,"")&amp;"."</f>
        <v>Decision theory (EUT) agrees with ASH thrombophilia guidelines. According to acceptable regret theory the acceptable strategy is:   Rx.</v>
      </c>
      <c r="Q14" s="299"/>
      <c r="R14" s="299"/>
      <c r="S14" s="299"/>
      <c r="T14" s="299"/>
      <c r="U14" s="300"/>
      <c r="V14" s="57"/>
    </row>
    <row r="15" spans="1:22" s="9" customFormat="1" ht="15" customHeight="1">
      <c r="A15" s="57"/>
      <c r="B15" s="13"/>
      <c r="C15" s="288" t="str">
        <f>"Since the overall risk for VTE recurrence ("&amp;ROUND(100*F29,VLOOKUP(B3,INPUT_Table,8,FALSE))&amp;"%) is "&amp;IF(F29&lt;N28,"less than treatment threshold, the best strategy is to not to test and recommend administering  treatment.",IF(F29&gt;R28,"above the testing threshold, the best strategy is to not to test and not treate any patients.","between the testing and treatment threshold, the best strategy is to test and treat if the test is NOT positive."))</f>
        <v>Since the overall risk for VTE recurrence (0.2%) is less than treatment threshold, the best strategy is to not to test and recommend administering  treatment.</v>
      </c>
      <c r="D15" s="289"/>
      <c r="E15" s="289"/>
      <c r="F15" s="289"/>
      <c r="G15" s="289"/>
      <c r="H15" s="289"/>
      <c r="I15" s="289"/>
      <c r="J15" s="289"/>
      <c r="K15" s="289"/>
      <c r="L15" s="289"/>
      <c r="M15" s="289"/>
      <c r="N15" s="290"/>
      <c r="O15" s="13"/>
      <c r="P15" s="301"/>
      <c r="Q15" s="302"/>
      <c r="R15" s="302"/>
      <c r="S15" s="302"/>
      <c r="T15" s="302"/>
      <c r="U15" s="303"/>
      <c r="V15" s="57"/>
    </row>
    <row r="16" spans="1:22" s="9" customFormat="1" ht="15" customHeight="1" thickBot="1">
      <c r="A16" s="57"/>
      <c r="B16" s="13"/>
      <c r="C16" s="291"/>
      <c r="D16" s="292"/>
      <c r="E16" s="292"/>
      <c r="F16" s="292"/>
      <c r="G16" s="292"/>
      <c r="H16" s="292"/>
      <c r="I16" s="292"/>
      <c r="J16" s="292"/>
      <c r="K16" s="292"/>
      <c r="L16" s="292"/>
      <c r="M16" s="292"/>
      <c r="N16" s="293"/>
      <c r="O16" s="44"/>
      <c r="P16" s="304"/>
      <c r="Q16" s="305"/>
      <c r="R16" s="305"/>
      <c r="S16" s="305"/>
      <c r="T16" s="305"/>
      <c r="U16" s="306"/>
      <c r="V16" s="57"/>
    </row>
    <row r="17" spans="1:23" s="8" customFormat="1" ht="21" customHeight="1" thickBot="1">
      <c r="A17" s="1"/>
      <c r="B17" s="13" t="s">
        <v>145</v>
      </c>
      <c r="D17" s="13"/>
      <c r="E17" s="13"/>
      <c r="F17" s="14"/>
      <c r="G17" s="13"/>
      <c r="H17" s="13"/>
      <c r="I17" s="13"/>
      <c r="J17" s="13"/>
      <c r="K17" s="13"/>
      <c r="L17" s="13"/>
      <c r="M17" s="13"/>
      <c r="N17" s="12"/>
      <c r="O17" s="12"/>
      <c r="V17" s="1"/>
    </row>
    <row r="18" spans="1:23" s="8" customFormat="1" ht="15.75" customHeight="1">
      <c r="A18" s="1"/>
      <c r="B18" s="13"/>
      <c r="C18" s="288" t="str">
        <f>VLOOKUP(B3,Rec_Table,3,FALSE)</f>
        <v>The ASH guideline panel suggests not performing thrombophilia testing to guide the use of HRT and administering treatment to all (conditional recommendation based on low certainty in the evidence about effects).</v>
      </c>
      <c r="D18" s="289"/>
      <c r="E18" s="289"/>
      <c r="F18" s="289"/>
      <c r="G18" s="289"/>
      <c r="H18" s="289"/>
      <c r="I18" s="289"/>
      <c r="J18" s="289"/>
      <c r="K18" s="289"/>
      <c r="L18" s="289"/>
      <c r="M18" s="289"/>
      <c r="N18" s="289"/>
      <c r="O18" s="289"/>
      <c r="P18" s="289"/>
      <c r="Q18" s="289"/>
      <c r="R18" s="289"/>
      <c r="S18" s="289"/>
      <c r="T18" s="289"/>
      <c r="U18" s="290"/>
      <c r="V18" s="1"/>
    </row>
    <row r="19" spans="1:23" s="8" customFormat="1" ht="15.75" customHeight="1">
      <c r="A19" s="1"/>
      <c r="B19" s="13"/>
      <c r="C19" s="295"/>
      <c r="D19" s="296"/>
      <c r="E19" s="296"/>
      <c r="F19" s="296"/>
      <c r="G19" s="296"/>
      <c r="H19" s="296"/>
      <c r="I19" s="296"/>
      <c r="J19" s="296"/>
      <c r="K19" s="296"/>
      <c r="L19" s="296"/>
      <c r="M19" s="296"/>
      <c r="N19" s="296"/>
      <c r="O19" s="296"/>
      <c r="P19" s="296"/>
      <c r="Q19" s="296"/>
      <c r="R19" s="296"/>
      <c r="S19" s="296"/>
      <c r="T19" s="296"/>
      <c r="U19" s="297"/>
      <c r="V19" s="1"/>
    </row>
    <row r="20" spans="1:23" s="8" customFormat="1" ht="15.75" thickBot="1">
      <c r="A20" s="1"/>
      <c r="B20" s="13"/>
      <c r="C20" s="291"/>
      <c r="D20" s="292"/>
      <c r="E20" s="292"/>
      <c r="F20" s="292"/>
      <c r="G20" s="292"/>
      <c r="H20" s="292"/>
      <c r="I20" s="292"/>
      <c r="J20" s="292"/>
      <c r="K20" s="292"/>
      <c r="L20" s="292"/>
      <c r="M20" s="292"/>
      <c r="N20" s="292"/>
      <c r="O20" s="292"/>
      <c r="P20" s="292"/>
      <c r="Q20" s="292"/>
      <c r="R20" s="292"/>
      <c r="S20" s="292"/>
      <c r="T20" s="292"/>
      <c r="U20" s="293"/>
      <c r="V20" s="1"/>
    </row>
    <row r="21" spans="1:23" s="8" customFormat="1" ht="5.25" customHeight="1">
      <c r="A21" s="1"/>
      <c r="B21" s="13"/>
      <c r="C21" s="17"/>
      <c r="D21" s="17"/>
      <c r="E21" s="17"/>
      <c r="F21" s="17"/>
      <c r="G21" s="17"/>
      <c r="H21" s="17"/>
      <c r="I21" s="17"/>
      <c r="J21" s="17"/>
      <c r="K21" s="17"/>
      <c r="L21" s="17"/>
      <c r="M21" s="17"/>
      <c r="N21" s="17"/>
      <c r="O21" s="16"/>
      <c r="P21" s="16"/>
      <c r="Q21" s="16"/>
      <c r="R21" s="16"/>
      <c r="S21" s="16"/>
      <c r="V21" s="1"/>
    </row>
    <row r="22" spans="1:23" s="18" customFormat="1" ht="13.5">
      <c r="A22" s="58"/>
      <c r="C22" s="19" t="s">
        <v>146</v>
      </c>
      <c r="D22" s="20"/>
      <c r="E22" s="20"/>
      <c r="F22" s="20"/>
      <c r="G22" s="20"/>
      <c r="H22" s="20"/>
      <c r="I22" s="20"/>
      <c r="J22" s="20"/>
      <c r="K22" s="20"/>
      <c r="L22" s="20"/>
      <c r="M22" s="20"/>
      <c r="N22" s="20"/>
      <c r="O22" s="21"/>
      <c r="P22" s="21"/>
      <c r="Q22" s="21"/>
      <c r="R22" s="95" t="s">
        <v>33</v>
      </c>
      <c r="S22" s="21"/>
      <c r="V22" s="58"/>
    </row>
    <row r="23" spans="1:23" s="18" customFormat="1" ht="13.5">
      <c r="A23" s="58"/>
      <c r="C23" s="19" t="s">
        <v>147</v>
      </c>
      <c r="D23" s="20"/>
      <c r="E23" s="20"/>
      <c r="F23" s="20"/>
      <c r="G23" s="283" t="s">
        <v>148</v>
      </c>
      <c r="H23" s="283"/>
      <c r="I23" s="283"/>
      <c r="J23" s="283"/>
      <c r="K23" s="283"/>
      <c r="L23" s="283"/>
      <c r="M23" s="283"/>
      <c r="N23" s="283"/>
      <c r="O23" s="283"/>
      <c r="P23" s="283"/>
      <c r="Q23" s="283"/>
      <c r="R23" s="283"/>
      <c r="S23" s="283"/>
      <c r="T23" s="283"/>
      <c r="U23" s="283"/>
      <c r="V23" s="58"/>
    </row>
    <row r="24" spans="1:23" s="8" customFormat="1" ht="5.25" customHeight="1">
      <c r="A24" s="1"/>
      <c r="C24" s="10"/>
      <c r="D24" s="10"/>
      <c r="E24" s="10"/>
      <c r="F24" s="10"/>
      <c r="G24" s="10"/>
      <c r="H24" s="11"/>
      <c r="I24" s="11"/>
      <c r="J24" s="11"/>
      <c r="K24" s="10"/>
      <c r="L24" s="10"/>
      <c r="M24" s="10"/>
      <c r="N24" s="10"/>
      <c r="O24" s="10"/>
      <c r="P24" s="10"/>
      <c r="Q24" s="10"/>
      <c r="R24" s="10"/>
      <c r="V24" s="1"/>
    </row>
    <row r="25" spans="1:23" s="1" customFormat="1" ht="9" customHeight="1">
      <c r="F25" s="6"/>
      <c r="N25" s="7"/>
      <c r="O25" s="7"/>
      <c r="P25" s="7"/>
      <c r="Q25" s="7"/>
    </row>
    <row r="26" spans="1:23">
      <c r="B26" s="98" t="s">
        <v>149</v>
      </c>
      <c r="O26" s="15"/>
      <c r="P26" s="15"/>
      <c r="Q26" s="15"/>
      <c r="R26" s="15"/>
      <c r="S26" s="15"/>
      <c r="T26" s="15"/>
      <c r="U26" s="15"/>
      <c r="V26" s="59"/>
      <c r="W26" s="15"/>
    </row>
    <row r="27" spans="1:23" s="128" customFormat="1">
      <c r="B27" s="271" t="s">
        <v>150</v>
      </c>
      <c r="C27" s="271"/>
      <c r="D27" s="271"/>
      <c r="E27" s="271"/>
      <c r="F27" s="271"/>
      <c r="J27" s="130">
        <v>0</v>
      </c>
      <c r="K27" s="131" t="str">
        <f>G39</f>
        <v>severe symptoms of the menopause</v>
      </c>
      <c r="L27" s="130"/>
      <c r="M27" s="130"/>
      <c r="N27" s="272" t="s">
        <v>153</v>
      </c>
      <c r="O27" s="272"/>
      <c r="P27" s="272"/>
      <c r="Q27" s="272"/>
      <c r="R27" s="272"/>
      <c r="S27" s="272"/>
      <c r="T27" s="130"/>
      <c r="U27" s="130"/>
      <c r="V27" s="130"/>
    </row>
    <row r="28" spans="1:23" s="128" customFormat="1">
      <c r="B28" s="274" t="s">
        <v>154</v>
      </c>
      <c r="C28" s="274"/>
      <c r="D28" s="274"/>
      <c r="E28" s="274"/>
      <c r="F28" s="129">
        <v>1000</v>
      </c>
      <c r="G28" s="128" t="s">
        <v>190</v>
      </c>
      <c r="H28" s="128" t="s">
        <v>195</v>
      </c>
      <c r="K28" s="128">
        <f>VLOOKUP(B3,INPUT_Table,7,FALSE)-VLOOKUP(B3,INPUT_Table,6,FALSE)</f>
        <v>0.25819999999999999</v>
      </c>
      <c r="N28" s="276">
        <f>((F31*F30+(1-F30))/F31)*P28</f>
        <v>0.12402065573770488</v>
      </c>
      <c r="O28" s="276"/>
      <c r="P28" s="276">
        <f>H10*(1-L31)*L33/(J35-1)</f>
        <v>0.21163934426229503</v>
      </c>
      <c r="Q28" s="276"/>
      <c r="R28" s="276">
        <f>($F$31*$F$30+(1-$F$30))*P28</f>
        <v>0.22323718032786879</v>
      </c>
      <c r="S28" s="276"/>
    </row>
    <row r="29" spans="1:23" s="128" customFormat="1">
      <c r="B29" s="274" t="s">
        <v>155</v>
      </c>
      <c r="C29" s="274"/>
      <c r="D29" s="274"/>
      <c r="E29" s="274"/>
      <c r="F29" s="129">
        <f>H29</f>
        <v>2E-3</v>
      </c>
      <c r="G29" s="128">
        <f>H29*J35</f>
        <v>4.4400000000000004E-3</v>
      </c>
      <c r="H29" s="128">
        <f>VLOOKUP(B3,INPUT_Table,2,FALSE)</f>
        <v>2E-3</v>
      </c>
      <c r="N29" s="272" t="s">
        <v>159</v>
      </c>
      <c r="O29" s="272"/>
      <c r="P29" s="272" t="s">
        <v>158</v>
      </c>
      <c r="Q29" s="272"/>
      <c r="R29" s="272" t="s">
        <v>157</v>
      </c>
      <c r="S29" s="272"/>
    </row>
    <row r="30" spans="1:23" s="128" customFormat="1">
      <c r="B30" s="274" t="s">
        <v>160</v>
      </c>
      <c r="C30" s="274"/>
      <c r="D30" s="274"/>
      <c r="E30" s="274"/>
      <c r="F30" s="129">
        <f>VLOOKUP(B3,INPUT_Table,3,FALSE)</f>
        <v>6.8500000000000005E-2</v>
      </c>
      <c r="G30" s="271" t="s">
        <v>161</v>
      </c>
      <c r="H30" s="271"/>
      <c r="N30" s="272"/>
      <c r="O30" s="272"/>
      <c r="P30" s="272"/>
      <c r="Q30" s="272"/>
      <c r="R30" s="272"/>
      <c r="S30" s="272"/>
    </row>
    <row r="31" spans="1:23" s="128" customFormat="1" ht="29.25" customHeight="1">
      <c r="B31" s="294" t="s">
        <v>164</v>
      </c>
      <c r="C31" s="294"/>
      <c r="D31" s="294"/>
      <c r="E31" s="294"/>
      <c r="F31" s="130">
        <f>VLOOKUP(B3,INPUT_Table,4,FALSE)</f>
        <v>1.8</v>
      </c>
      <c r="G31" s="130" t="s">
        <v>165</v>
      </c>
      <c r="H31" s="130" t="s">
        <v>166</v>
      </c>
      <c r="K31" s="128" t="s">
        <v>333</v>
      </c>
      <c r="L31" s="128">
        <f>L32/L33</f>
        <v>0.29434271658923206</v>
      </c>
      <c r="N31" s="272"/>
      <c r="O31" s="272"/>
      <c r="P31" s="272"/>
      <c r="Q31" s="272"/>
      <c r="R31" s="272"/>
      <c r="S31" s="272"/>
    </row>
    <row r="32" spans="1:23" s="128" customFormat="1">
      <c r="B32" s="271" t="s">
        <v>154</v>
      </c>
      <c r="C32" s="271"/>
      <c r="D32" s="271"/>
      <c r="E32" s="271"/>
      <c r="F32" s="271"/>
      <c r="G32" s="129">
        <f>F30*F28</f>
        <v>68.5</v>
      </c>
      <c r="H32" s="129">
        <f>F28-G32</f>
        <v>931.5</v>
      </c>
      <c r="J32" s="128" t="s">
        <v>334</v>
      </c>
      <c r="K32" s="128" t="s">
        <v>190</v>
      </c>
      <c r="L32" s="128">
        <f>VLOOKUP(B3,INPUT_Table,6,FALSE)</f>
        <v>0.1077</v>
      </c>
      <c r="N32" s="272"/>
      <c r="O32" s="272"/>
      <c r="P32" s="272"/>
      <c r="Q32" s="272"/>
      <c r="R32" s="272"/>
      <c r="S32" s="272"/>
    </row>
    <row r="33" spans="2:35" s="128" customFormat="1">
      <c r="B33" s="271" t="s">
        <v>170</v>
      </c>
      <c r="C33" s="271"/>
      <c r="D33" s="271"/>
      <c r="E33" s="271"/>
      <c r="F33" s="271"/>
      <c r="G33" s="133">
        <f>H33*F31</f>
        <v>7.5767918088737209E-3</v>
      </c>
      <c r="H33" s="133">
        <f>G29*F28/(G32*F31+H32)</f>
        <v>4.2093287827076227E-3</v>
      </c>
      <c r="K33" s="128" t="s">
        <v>195</v>
      </c>
      <c r="L33" s="128">
        <f>VLOOKUP(B3,INPUT_Table,7,FALSE)</f>
        <v>0.3659</v>
      </c>
      <c r="N33" s="272" t="s">
        <v>171</v>
      </c>
      <c r="O33" s="272"/>
      <c r="P33" s="272"/>
      <c r="Q33" s="272" t="s">
        <v>172</v>
      </c>
      <c r="R33" s="272" t="str">
        <f>G39</f>
        <v>severe symptoms of the menopause</v>
      </c>
      <c r="S33" s="272"/>
      <c r="W33" s="128" t="s">
        <v>335</v>
      </c>
      <c r="Y33" s="128">
        <v>0.1077</v>
      </c>
      <c r="Z33" s="128">
        <v>0.15590000000000001</v>
      </c>
    </row>
    <row r="34" spans="2:35" s="128" customFormat="1">
      <c r="B34" s="274"/>
      <c r="C34" s="274"/>
      <c r="D34" s="274"/>
      <c r="E34" s="274"/>
      <c r="F34" s="129"/>
      <c r="N34" s="272"/>
      <c r="O34" s="272"/>
      <c r="P34" s="272"/>
      <c r="Q34" s="272"/>
      <c r="R34" s="272"/>
      <c r="S34" s="272"/>
      <c r="AA34" s="128" t="s">
        <v>336</v>
      </c>
    </row>
    <row r="35" spans="2:35" s="128" customFormat="1">
      <c r="B35" s="274" t="s">
        <v>173</v>
      </c>
      <c r="C35" s="274"/>
      <c r="D35" s="274"/>
      <c r="E35" s="274"/>
      <c r="F35" s="274"/>
      <c r="G35" s="274"/>
      <c r="H35" s="274"/>
      <c r="I35" s="274"/>
      <c r="J35" s="129">
        <f>VLOOKUP(B3,INPUT_Table,5,FALSE)</f>
        <v>2.2200000000000002</v>
      </c>
      <c r="N35" s="272" t="s">
        <v>179</v>
      </c>
      <c r="O35" s="272"/>
      <c r="P35" s="272"/>
      <c r="Q35" s="128">
        <f>F28*G29</f>
        <v>4.4400000000000004</v>
      </c>
      <c r="R35" s="272">
        <f>F28*L32</f>
        <v>107.7</v>
      </c>
      <c r="S35" s="272"/>
      <c r="X35" s="128" t="s">
        <v>337</v>
      </c>
      <c r="Y35" s="128" t="s">
        <v>338</v>
      </c>
      <c r="Z35" s="128" t="s">
        <v>339</v>
      </c>
      <c r="AA35" s="134" t="s">
        <v>340</v>
      </c>
      <c r="AG35" s="128" t="s">
        <v>341</v>
      </c>
    </row>
    <row r="36" spans="2:35" s="128" customFormat="1">
      <c r="F36" s="129"/>
      <c r="N36" s="272" t="s">
        <v>175</v>
      </c>
      <c r="O36" s="272"/>
      <c r="P36" s="272"/>
      <c r="Q36" s="128">
        <f>F28*F29*(F30*F31+(1-F30)*J35)/(F31*F30+(1-F30))</f>
        <v>4.1547781569965876</v>
      </c>
      <c r="R36" s="319">
        <f>G32*L33+H32*L32</f>
        <v>125.3867</v>
      </c>
      <c r="S36" s="319"/>
      <c r="W36" s="128" t="s">
        <v>342</v>
      </c>
      <c r="X36" s="128">
        <v>0.93</v>
      </c>
      <c r="Y36" s="128">
        <f>1-AB45</f>
        <v>0.65999999999999992</v>
      </c>
      <c r="Z36" s="128">
        <f>1-AB48</f>
        <v>0.57400000000000007</v>
      </c>
      <c r="AA36" s="134" t="s">
        <v>343</v>
      </c>
      <c r="AG36" s="128" t="s">
        <v>344</v>
      </c>
    </row>
    <row r="37" spans="2:35" s="128" customFormat="1">
      <c r="B37" s="272" t="s">
        <v>176</v>
      </c>
      <c r="C37" s="273" t="s">
        <v>345</v>
      </c>
      <c r="D37" s="275" t="s">
        <v>178</v>
      </c>
      <c r="E37" s="275"/>
      <c r="F37" s="275"/>
      <c r="G37" s="275"/>
      <c r="H37" s="275"/>
      <c r="I37" s="275"/>
      <c r="N37" s="272" t="s">
        <v>174</v>
      </c>
      <c r="O37" s="272"/>
      <c r="P37" s="272"/>
      <c r="Q37" s="128">
        <f>H29*$F$28</f>
        <v>2</v>
      </c>
      <c r="R37" s="272">
        <f>F28*L33</f>
        <v>365.9</v>
      </c>
      <c r="S37" s="272"/>
      <c r="W37" s="128" t="s">
        <v>346</v>
      </c>
      <c r="X37" s="128">
        <f>(1-X36)*X38</f>
        <v>5.9499999999999956E-2</v>
      </c>
      <c r="Y37" s="128">
        <v>0.1077</v>
      </c>
      <c r="Z37" s="128">
        <v>0.15590000000000001</v>
      </c>
      <c r="AA37" s="134"/>
    </row>
    <row r="38" spans="2:35" s="128" customFormat="1">
      <c r="B38" s="272"/>
      <c r="C38" s="273"/>
      <c r="D38" s="137"/>
      <c r="F38" s="129"/>
      <c r="N38" s="130"/>
      <c r="O38" s="130"/>
      <c r="P38" s="130"/>
      <c r="W38" s="128" t="s">
        <v>347</v>
      </c>
      <c r="X38" s="128">
        <v>0.85</v>
      </c>
      <c r="Y38" s="128">
        <v>0.31669999999999998</v>
      </c>
      <c r="Z38" s="128">
        <v>0.3659</v>
      </c>
      <c r="AA38" s="134" t="s">
        <v>348</v>
      </c>
      <c r="AG38" s="128" t="s">
        <v>349</v>
      </c>
    </row>
    <row r="39" spans="2:35" s="128" customFormat="1" ht="15.75">
      <c r="B39" s="272"/>
      <c r="C39" s="273"/>
      <c r="F39" s="129"/>
      <c r="G39" s="272" t="str">
        <f>VLOOKUP(B3,'R15-R20'!Rec_Table,9,FALSE)</f>
        <v>severe symptoms of the menopause</v>
      </c>
      <c r="H39" s="272"/>
      <c r="N39" s="130"/>
      <c r="O39" s="130"/>
      <c r="P39" s="130"/>
      <c r="Y39" s="128">
        <v>0.31669999999999998</v>
      </c>
      <c r="Z39" s="128">
        <v>0.3659</v>
      </c>
      <c r="AA39" s="134" t="s">
        <v>350</v>
      </c>
      <c r="AG39" s="138" t="s">
        <v>351</v>
      </c>
    </row>
    <row r="40" spans="2:35" s="128" customFormat="1">
      <c r="B40" s="272"/>
      <c r="C40" s="273"/>
      <c r="D40" s="128" t="s">
        <v>181</v>
      </c>
      <c r="E40" s="130" t="s">
        <v>182</v>
      </c>
      <c r="F40" s="129" t="s">
        <v>183</v>
      </c>
      <c r="G40" s="128" t="s">
        <v>190</v>
      </c>
      <c r="H40" s="128" t="s">
        <v>195</v>
      </c>
      <c r="I40" s="272" t="s">
        <v>185</v>
      </c>
      <c r="J40" s="272"/>
      <c r="K40" s="131" t="s">
        <v>352</v>
      </c>
      <c r="M40" s="128" t="s">
        <v>186</v>
      </c>
      <c r="S40" s="128" t="s">
        <v>353</v>
      </c>
      <c r="T40" s="128" t="s">
        <v>354</v>
      </c>
      <c r="AA40" s="128" t="s">
        <v>355</v>
      </c>
      <c r="AI40" s="128" t="s">
        <v>356</v>
      </c>
    </row>
    <row r="41" spans="2:35" s="128" customFormat="1">
      <c r="B41" s="130" t="s">
        <v>357</v>
      </c>
      <c r="C41" s="130">
        <f>0.35/1000</f>
        <v>3.5E-4</v>
      </c>
      <c r="D41" s="130">
        <v>6.8500000000000005E-2</v>
      </c>
      <c r="E41" s="139">
        <v>5.89</v>
      </c>
      <c r="F41" s="129">
        <f>3.5</f>
        <v>3.5</v>
      </c>
      <c r="G41" s="128">
        <f>X37</f>
        <v>5.9499999999999956E-2</v>
      </c>
      <c r="H41" s="128">
        <f>X38</f>
        <v>0.85</v>
      </c>
      <c r="I41" s="271">
        <v>4</v>
      </c>
      <c r="J41" s="271"/>
      <c r="K41" s="140">
        <f>C41*F41</f>
        <v>1.225E-3</v>
      </c>
      <c r="L41" s="129" t="str">
        <f t="shared" ref="L41:L61" si="0">B41</f>
        <v>R15</v>
      </c>
      <c r="M41" s="141" t="s">
        <v>358</v>
      </c>
      <c r="N41" s="142" t="s">
        <v>359</v>
      </c>
      <c r="O41" s="128" t="s">
        <v>190</v>
      </c>
      <c r="P41" s="141" t="s">
        <v>360</v>
      </c>
      <c r="Q41" s="132" t="str">
        <f>L41&amp;": "&amp;M41</f>
        <v>R15: Women from the general population considering COCs.</v>
      </c>
      <c r="R41" s="130" t="str">
        <f>LEFT(Q41,SEARCH(":",Q41)-1)</f>
        <v>R15</v>
      </c>
      <c r="S41" s="128" t="s">
        <v>361</v>
      </c>
      <c r="T41" s="128" t="s">
        <v>362</v>
      </c>
    </row>
    <row r="42" spans="2:35" s="128" customFormat="1">
      <c r="B42" s="130" t="s">
        <v>363</v>
      </c>
      <c r="C42" s="130">
        <f>2/1000</f>
        <v>2E-3</v>
      </c>
      <c r="D42" s="130">
        <v>6.8500000000000005E-2</v>
      </c>
      <c r="E42" s="139">
        <v>1.8</v>
      </c>
      <c r="F42" s="129">
        <f>2.22</f>
        <v>2.2200000000000002</v>
      </c>
      <c r="G42" s="128">
        <f>Y37</f>
        <v>0.1077</v>
      </c>
      <c r="H42" s="128">
        <f>Z38</f>
        <v>0.3659</v>
      </c>
      <c r="I42" s="271">
        <v>4</v>
      </c>
      <c r="J42" s="271"/>
      <c r="K42" s="140">
        <f t="shared" ref="K42:K61" si="1">C42*F42</f>
        <v>4.4400000000000004E-3</v>
      </c>
      <c r="L42" s="129" t="str">
        <f t="shared" si="0"/>
        <v>R16a</v>
      </c>
      <c r="M42" s="141" t="s">
        <v>364</v>
      </c>
      <c r="N42" s="142" t="s">
        <v>365</v>
      </c>
      <c r="O42" s="128" t="s">
        <v>190</v>
      </c>
      <c r="P42" s="141" t="s">
        <v>360</v>
      </c>
      <c r="Q42" s="132" t="str">
        <f t="shared" ref="Q42:Q61" si="2">L42&amp;": "&amp;M42</f>
        <v>R16a: Women from the general population considering HRT (estrogen alone)</v>
      </c>
      <c r="R42" s="130" t="str">
        <f t="shared" ref="R42:R61" si="3">LEFT(Q42,SEARCH(":",Q42)-1)</f>
        <v>R16a</v>
      </c>
      <c r="S42" s="128" t="s">
        <v>366</v>
      </c>
      <c r="T42" s="128" t="s">
        <v>367</v>
      </c>
      <c r="AA42" s="143" t="s">
        <v>368</v>
      </c>
    </row>
    <row r="43" spans="2:35" s="128" customFormat="1">
      <c r="B43" s="130" t="s">
        <v>369</v>
      </c>
      <c r="C43" s="130">
        <f>2/1000</f>
        <v>2E-3</v>
      </c>
      <c r="D43" s="130">
        <v>6.8500000000000005E-2</v>
      </c>
      <c r="E43" s="139">
        <v>1.8</v>
      </c>
      <c r="F43" s="129">
        <f>4.28</f>
        <v>4.28</v>
      </c>
      <c r="G43" s="128">
        <f>Z37</f>
        <v>0.15590000000000001</v>
      </c>
      <c r="H43" s="128">
        <f>Y38</f>
        <v>0.31669999999999998</v>
      </c>
      <c r="I43" s="271">
        <v>4</v>
      </c>
      <c r="J43" s="271"/>
      <c r="K43" s="140">
        <f t="shared" si="1"/>
        <v>8.5599999999999999E-3</v>
      </c>
      <c r="L43" s="129" t="str">
        <f t="shared" si="0"/>
        <v>R16b</v>
      </c>
      <c r="M43" s="141" t="s">
        <v>370</v>
      </c>
      <c r="N43" s="142" t="s">
        <v>365</v>
      </c>
      <c r="O43" s="128" t="s">
        <v>190</v>
      </c>
      <c r="P43" s="141" t="s">
        <v>360</v>
      </c>
      <c r="Q43" s="132" t="str">
        <f t="shared" si="2"/>
        <v>R16b: Women from the general population considering HRT (combined)</v>
      </c>
      <c r="R43" s="130" t="str">
        <f t="shared" si="3"/>
        <v>R16b</v>
      </c>
      <c r="S43" s="128" t="s">
        <v>371</v>
      </c>
      <c r="T43" s="128" t="s">
        <v>367</v>
      </c>
      <c r="Z43" s="128" t="s">
        <v>372</v>
      </c>
      <c r="AA43" s="128" t="s">
        <v>373</v>
      </c>
      <c r="AB43" s="128">
        <f>0.26</f>
        <v>0.26</v>
      </c>
    </row>
    <row r="44" spans="2:35" s="128" customFormat="1">
      <c r="B44" s="130" t="s">
        <v>374</v>
      </c>
      <c r="C44" s="130">
        <f>1.2/1000</f>
        <v>1.1999999999999999E-3</v>
      </c>
      <c r="D44" s="130">
        <v>0.14199999999999999</v>
      </c>
      <c r="E44" s="139">
        <v>3.87</v>
      </c>
      <c r="F44" s="129">
        <f>3.5</f>
        <v>3.5</v>
      </c>
      <c r="G44" s="128">
        <f t="shared" ref="G44:H47" si="4">G41</f>
        <v>5.9499999999999956E-2</v>
      </c>
      <c r="H44" s="128">
        <f t="shared" si="4"/>
        <v>0.85</v>
      </c>
      <c r="I44" s="271">
        <v>4</v>
      </c>
      <c r="J44" s="271"/>
      <c r="K44" s="140">
        <f t="shared" si="1"/>
        <v>4.1999999999999997E-3</v>
      </c>
      <c r="L44" s="129" t="str">
        <f t="shared" si="0"/>
        <v>R17</v>
      </c>
      <c r="M44" s="141" t="s">
        <v>375</v>
      </c>
      <c r="N44" s="142" t="s">
        <v>376</v>
      </c>
      <c r="O44" s="128" t="s">
        <v>190</v>
      </c>
      <c r="P44" s="141" t="s">
        <v>377</v>
      </c>
      <c r="Q44" s="132" t="str">
        <f t="shared" si="2"/>
        <v>R17: Women with a family history of VTE and unknown thrombophilia status in the family who are considering using COCs.</v>
      </c>
      <c r="R44" s="130" t="str">
        <f t="shared" si="3"/>
        <v>R17</v>
      </c>
      <c r="S44" s="128" t="s">
        <v>361</v>
      </c>
      <c r="T44" s="128" t="s">
        <v>362</v>
      </c>
      <c r="AA44" s="128" t="s">
        <v>378</v>
      </c>
      <c r="AB44" s="128">
        <f>38/120</f>
        <v>0.31666666666666665</v>
      </c>
    </row>
    <row r="45" spans="2:35" s="128" customFormat="1">
      <c r="B45" s="130" t="s">
        <v>379</v>
      </c>
      <c r="C45" s="130">
        <f>3/1000</f>
        <v>3.0000000000000001E-3</v>
      </c>
      <c r="D45" s="130">
        <v>0.14199999999999999</v>
      </c>
      <c r="E45" s="139">
        <v>2.08</v>
      </c>
      <c r="F45" s="129">
        <f>2.22</f>
        <v>2.2200000000000002</v>
      </c>
      <c r="G45" s="128">
        <f t="shared" si="4"/>
        <v>0.1077</v>
      </c>
      <c r="H45" s="128">
        <f t="shared" si="4"/>
        <v>0.3659</v>
      </c>
      <c r="I45" s="271">
        <v>4</v>
      </c>
      <c r="J45" s="271"/>
      <c r="K45" s="140">
        <f t="shared" si="1"/>
        <v>6.660000000000001E-3</v>
      </c>
      <c r="L45" s="129" t="str">
        <f t="shared" si="0"/>
        <v>R18a</v>
      </c>
      <c r="M45" s="141" t="s">
        <v>380</v>
      </c>
      <c r="N45" s="142" t="s">
        <v>381</v>
      </c>
      <c r="O45" s="128" t="s">
        <v>190</v>
      </c>
      <c r="P45" s="141" t="s">
        <v>377</v>
      </c>
      <c r="Q45" s="132" t="str">
        <f t="shared" si="2"/>
        <v>R18a: Women with a family history of VTE and unknown thrombophilia in the family who are considering using HRT estrogen alone.</v>
      </c>
      <c r="R45" s="130" t="str">
        <f t="shared" si="3"/>
        <v>R18a</v>
      </c>
      <c r="S45" s="128" t="s">
        <v>366</v>
      </c>
      <c r="T45" s="128" t="s">
        <v>367</v>
      </c>
      <c r="AA45" s="128" t="s">
        <v>382</v>
      </c>
      <c r="AB45" s="128">
        <f>0.34</f>
        <v>0.34</v>
      </c>
    </row>
    <row r="46" spans="2:35" s="128" customFormat="1">
      <c r="B46" s="130" t="s">
        <v>383</v>
      </c>
      <c r="C46" s="130">
        <f>3/1000</f>
        <v>3.0000000000000001E-3</v>
      </c>
      <c r="D46" s="130">
        <v>0.14199999999999999</v>
      </c>
      <c r="E46" s="139">
        <v>2.08</v>
      </c>
      <c r="F46" s="129">
        <f>4.28</f>
        <v>4.28</v>
      </c>
      <c r="G46" s="128">
        <f t="shared" si="4"/>
        <v>0.15590000000000001</v>
      </c>
      <c r="H46" s="128">
        <f t="shared" si="4"/>
        <v>0.31669999999999998</v>
      </c>
      <c r="I46" s="271">
        <v>4</v>
      </c>
      <c r="J46" s="271"/>
      <c r="K46" s="140">
        <f t="shared" si="1"/>
        <v>1.2840000000000001E-2</v>
      </c>
      <c r="L46" s="129" t="str">
        <f t="shared" si="0"/>
        <v>R18b</v>
      </c>
      <c r="M46" s="141" t="s">
        <v>384</v>
      </c>
      <c r="N46" s="142" t="s">
        <v>381</v>
      </c>
      <c r="O46" s="128" t="s">
        <v>190</v>
      </c>
      <c r="P46" s="141" t="s">
        <v>377</v>
      </c>
      <c r="Q46" s="132" t="str">
        <f t="shared" si="2"/>
        <v>R18b: Women with a family history of VTE and unknown thrombophilia in the family who are considering using HRT combined.</v>
      </c>
      <c r="R46" s="130" t="str">
        <f t="shared" si="3"/>
        <v>R18b</v>
      </c>
      <c r="S46" s="128" t="s">
        <v>371</v>
      </c>
      <c r="T46" s="128" t="s">
        <v>367</v>
      </c>
      <c r="Z46" s="128" t="s">
        <v>385</v>
      </c>
      <c r="AA46" s="128" t="s">
        <v>373</v>
      </c>
      <c r="AB46" s="128">
        <v>0.32</v>
      </c>
    </row>
    <row r="47" spans="2:35" s="128" customFormat="1">
      <c r="B47" s="130" t="s">
        <v>386</v>
      </c>
      <c r="C47" s="129">
        <f>2.5/1000</f>
        <v>2.5000000000000001E-3</v>
      </c>
      <c r="D47" s="130">
        <v>0.5</v>
      </c>
      <c r="E47" s="139">
        <v>2.71</v>
      </c>
      <c r="F47" s="129">
        <f>3.5</f>
        <v>3.5</v>
      </c>
      <c r="G47" s="128">
        <f t="shared" si="4"/>
        <v>5.9499999999999956E-2</v>
      </c>
      <c r="H47" s="128">
        <f t="shared" si="4"/>
        <v>0.85</v>
      </c>
      <c r="I47" s="271">
        <v>4</v>
      </c>
      <c r="J47" s="271"/>
      <c r="K47" s="140">
        <f t="shared" si="1"/>
        <v>8.7500000000000008E-3</v>
      </c>
      <c r="L47" s="129" t="str">
        <f t="shared" si="0"/>
        <v>R19a</v>
      </c>
      <c r="M47" s="141" t="s">
        <v>387</v>
      </c>
      <c r="N47" s="142" t="s">
        <v>388</v>
      </c>
      <c r="O47" s="128" t="s">
        <v>190</v>
      </c>
      <c r="P47" s="141" t="s">
        <v>389</v>
      </c>
      <c r="Q47" s="132" t="str">
        <f t="shared" si="2"/>
        <v>R19a: Women with a family history of VTE and known FVL in the family (low-risk thrombophilia) considering COCs.</v>
      </c>
      <c r="R47" s="130" t="str">
        <f t="shared" si="3"/>
        <v>R19a</v>
      </c>
      <c r="S47" s="128" t="s">
        <v>361</v>
      </c>
      <c r="T47" s="128" t="s">
        <v>362</v>
      </c>
      <c r="U47" s="129" t="s">
        <v>243</v>
      </c>
      <c r="AA47" s="128" t="s">
        <v>390</v>
      </c>
      <c r="AB47" s="128">
        <f>30/82</f>
        <v>0.36585365853658536</v>
      </c>
    </row>
    <row r="48" spans="2:35" s="128" customFormat="1">
      <c r="B48" s="130" t="s">
        <v>391</v>
      </c>
      <c r="C48" s="129">
        <f>2.5/1000</f>
        <v>2.5000000000000001E-3</v>
      </c>
      <c r="D48" s="130">
        <v>0.5</v>
      </c>
      <c r="E48" s="139">
        <v>2.35</v>
      </c>
      <c r="F48" s="129">
        <f>3.5</f>
        <v>3.5</v>
      </c>
      <c r="G48" s="128">
        <f>G47</f>
        <v>5.9499999999999956E-2</v>
      </c>
      <c r="H48" s="128">
        <f>H47</f>
        <v>0.85</v>
      </c>
      <c r="I48" s="271">
        <v>4</v>
      </c>
      <c r="J48" s="271"/>
      <c r="K48" s="140">
        <f t="shared" si="1"/>
        <v>8.7500000000000008E-3</v>
      </c>
      <c r="L48" s="129" t="str">
        <f t="shared" si="0"/>
        <v>R19b</v>
      </c>
      <c r="M48" s="141" t="s">
        <v>392</v>
      </c>
      <c r="N48" s="142" t="s">
        <v>388</v>
      </c>
      <c r="O48" s="128" t="s">
        <v>190</v>
      </c>
      <c r="P48" s="141" t="s">
        <v>389</v>
      </c>
      <c r="Q48" s="132" t="str">
        <f t="shared" si="2"/>
        <v>R19b: Women with a family history of VTE and known  PGM in the family (low-risk thrombophilia) considering COCs.</v>
      </c>
      <c r="R48" s="130" t="str">
        <f t="shared" si="3"/>
        <v>R19b</v>
      </c>
      <c r="S48" s="128" t="s">
        <v>361</v>
      </c>
      <c r="T48" s="128" t="s">
        <v>362</v>
      </c>
      <c r="U48" s="129" t="s">
        <v>247</v>
      </c>
      <c r="AA48" s="128" t="s">
        <v>382</v>
      </c>
      <c r="AB48" s="128">
        <v>0.42599999999999999</v>
      </c>
    </row>
    <row r="49" spans="2:21" s="128" customFormat="1">
      <c r="B49" s="130" t="s">
        <v>393</v>
      </c>
      <c r="C49" s="129">
        <f>8.4/1000</f>
        <v>8.4000000000000012E-3</v>
      </c>
      <c r="D49" s="130">
        <v>0.5</v>
      </c>
      <c r="E49" s="139">
        <v>12.07</v>
      </c>
      <c r="F49" s="129">
        <f>3.5</f>
        <v>3.5</v>
      </c>
      <c r="G49" s="128">
        <f t="shared" ref="G49:G51" si="5">G48</f>
        <v>5.9499999999999956E-2</v>
      </c>
      <c r="H49" s="128">
        <f t="shared" ref="H49:H51" si="6">H48</f>
        <v>0.85</v>
      </c>
      <c r="I49" s="271">
        <v>4</v>
      </c>
      <c r="J49" s="271"/>
      <c r="K49" s="140">
        <f t="shared" si="1"/>
        <v>2.9400000000000003E-2</v>
      </c>
      <c r="L49" s="129" t="str">
        <f t="shared" si="0"/>
        <v>R19c</v>
      </c>
      <c r="M49" s="141" t="s">
        <v>394</v>
      </c>
      <c r="N49" s="142" t="s">
        <v>395</v>
      </c>
      <c r="O49" s="128" t="s">
        <v>175</v>
      </c>
      <c r="P49" s="141" t="s">
        <v>389</v>
      </c>
      <c r="Q49" s="132" t="str">
        <f t="shared" si="2"/>
        <v>R19c: Women with a family history of VTE and known antithrombin deficiency in the family (high-risk thrombophilia) considering COCs.</v>
      </c>
      <c r="R49" s="130" t="str">
        <f t="shared" si="3"/>
        <v>R19c</v>
      </c>
      <c r="S49" s="128" t="s">
        <v>361</v>
      </c>
      <c r="T49" s="128" t="s">
        <v>362</v>
      </c>
      <c r="U49" s="129" t="s">
        <v>251</v>
      </c>
    </row>
    <row r="50" spans="2:21" s="128" customFormat="1">
      <c r="B50" s="130" t="s">
        <v>396</v>
      </c>
      <c r="C50" s="129">
        <f>6.3/1000</f>
        <v>6.3E-3</v>
      </c>
      <c r="D50" s="130">
        <v>0.5</v>
      </c>
      <c r="E50" s="139">
        <v>7.24</v>
      </c>
      <c r="F50" s="129">
        <f>3.5</f>
        <v>3.5</v>
      </c>
      <c r="G50" s="128">
        <f t="shared" si="5"/>
        <v>5.9499999999999956E-2</v>
      </c>
      <c r="H50" s="128">
        <f t="shared" si="6"/>
        <v>0.85</v>
      </c>
      <c r="I50" s="271">
        <v>4</v>
      </c>
      <c r="J50" s="271"/>
      <c r="K50" s="140">
        <f t="shared" si="1"/>
        <v>2.205E-2</v>
      </c>
      <c r="L50" s="129" t="str">
        <f t="shared" si="0"/>
        <v>R19d</v>
      </c>
      <c r="M50" s="141" t="s">
        <v>397</v>
      </c>
      <c r="N50" s="142" t="s">
        <v>395</v>
      </c>
      <c r="O50" s="128" t="s">
        <v>175</v>
      </c>
      <c r="P50" s="141" t="s">
        <v>389</v>
      </c>
      <c r="Q50" s="132" t="str">
        <f t="shared" si="2"/>
        <v>R19d: Women with a family history of VTE and known protein C deficiency in the family (high-risk thrombophilia) considering COCs.</v>
      </c>
      <c r="R50" s="130" t="str">
        <f t="shared" si="3"/>
        <v>R19d</v>
      </c>
      <c r="S50" s="128" t="s">
        <v>361</v>
      </c>
      <c r="T50" s="128" t="s">
        <v>362</v>
      </c>
      <c r="U50" s="129" t="s">
        <v>255</v>
      </c>
    </row>
    <row r="51" spans="2:21" s="128" customFormat="1">
      <c r="B51" s="130" t="s">
        <v>398</v>
      </c>
      <c r="C51" s="130">
        <f>4.9/1000</f>
        <v>4.9000000000000007E-3</v>
      </c>
      <c r="D51" s="130">
        <v>0.5</v>
      </c>
      <c r="E51" s="139">
        <v>5.98</v>
      </c>
      <c r="F51" s="129">
        <f>3.5</f>
        <v>3.5</v>
      </c>
      <c r="G51" s="128">
        <f t="shared" si="5"/>
        <v>5.9499999999999956E-2</v>
      </c>
      <c r="H51" s="128">
        <f t="shared" si="6"/>
        <v>0.85</v>
      </c>
      <c r="I51" s="271">
        <v>4</v>
      </c>
      <c r="J51" s="271"/>
      <c r="K51" s="140">
        <f t="shared" si="1"/>
        <v>1.7150000000000002E-2</v>
      </c>
      <c r="L51" s="129" t="str">
        <f t="shared" si="0"/>
        <v>R19e</v>
      </c>
      <c r="M51" s="141" t="s">
        <v>399</v>
      </c>
      <c r="N51" s="142" t="s">
        <v>395</v>
      </c>
      <c r="O51" s="128" t="s">
        <v>175</v>
      </c>
      <c r="P51" s="141" t="s">
        <v>389</v>
      </c>
      <c r="Q51" s="132" t="str">
        <f t="shared" si="2"/>
        <v>R19e: Women with a family history of VTE and known protein S deficiency in the family (high-risk thrombophilia) considering COCs.</v>
      </c>
      <c r="R51" s="130" t="str">
        <f t="shared" si="3"/>
        <v>R19e</v>
      </c>
      <c r="S51" s="128" t="s">
        <v>361</v>
      </c>
      <c r="T51" s="128" t="s">
        <v>362</v>
      </c>
      <c r="U51" s="129" t="s">
        <v>259</v>
      </c>
    </row>
    <row r="52" spans="2:21" s="128" customFormat="1">
      <c r="B52" s="130" t="s">
        <v>400</v>
      </c>
      <c r="C52" s="128">
        <f>2.5/1000</f>
        <v>2.5000000000000001E-3</v>
      </c>
      <c r="D52" s="130">
        <v>0.5</v>
      </c>
      <c r="E52" s="139">
        <v>2.6</v>
      </c>
      <c r="F52" s="129">
        <f>2.22</f>
        <v>2.2200000000000002</v>
      </c>
      <c r="G52" s="128">
        <f>G42</f>
        <v>0.1077</v>
      </c>
      <c r="H52" s="128">
        <f>H42</f>
        <v>0.3659</v>
      </c>
      <c r="I52" s="271">
        <v>4</v>
      </c>
      <c r="J52" s="271"/>
      <c r="K52" s="140">
        <f t="shared" si="1"/>
        <v>5.5500000000000002E-3</v>
      </c>
      <c r="L52" s="129" t="str">
        <f t="shared" si="0"/>
        <v>R20a</v>
      </c>
      <c r="M52" s="141" t="s">
        <v>401</v>
      </c>
      <c r="N52" s="142" t="s">
        <v>402</v>
      </c>
      <c r="O52" s="130" t="s">
        <v>190</v>
      </c>
      <c r="P52" s="141" t="s">
        <v>389</v>
      </c>
      <c r="Q52" s="132" t="str">
        <f t="shared" si="2"/>
        <v>R20a: Women with a family history of VTE and known FVL in the family (low-risk thrombophilia) who are considering using HRT estrogen alone.</v>
      </c>
      <c r="R52" s="130" t="str">
        <f t="shared" si="3"/>
        <v>R20a</v>
      </c>
      <c r="S52" s="128" t="s">
        <v>366</v>
      </c>
      <c r="T52" s="128" t="s">
        <v>367</v>
      </c>
      <c r="U52" s="129" t="s">
        <v>243</v>
      </c>
    </row>
    <row r="53" spans="2:21" s="128" customFormat="1">
      <c r="B53" s="130" t="s">
        <v>403</v>
      </c>
      <c r="C53" s="128">
        <f>2.5/1000</f>
        <v>2.5000000000000001E-3</v>
      </c>
      <c r="D53" s="130">
        <v>0.5</v>
      </c>
      <c r="E53" s="128">
        <v>2.6</v>
      </c>
      <c r="F53" s="129">
        <f>4.28</f>
        <v>4.28</v>
      </c>
      <c r="G53" s="128">
        <f>G43</f>
        <v>0.15590000000000001</v>
      </c>
      <c r="H53" s="128">
        <f>H43</f>
        <v>0.31669999999999998</v>
      </c>
      <c r="I53" s="271">
        <v>4</v>
      </c>
      <c r="J53" s="271"/>
      <c r="K53" s="140">
        <f t="shared" si="1"/>
        <v>1.0700000000000001E-2</v>
      </c>
      <c r="L53" s="129" t="str">
        <f t="shared" si="0"/>
        <v>R20b</v>
      </c>
      <c r="M53" s="141" t="s">
        <v>404</v>
      </c>
      <c r="N53" s="142" t="s">
        <v>402</v>
      </c>
      <c r="O53" s="130" t="s">
        <v>190</v>
      </c>
      <c r="P53" s="141" t="s">
        <v>389</v>
      </c>
      <c r="Q53" s="132" t="str">
        <f t="shared" si="2"/>
        <v>R20b: Women with a family history of VTE and known FVL in the family (low-risk thrombophilia) who are considering using HRT combined.</v>
      </c>
      <c r="R53" s="130" t="str">
        <f t="shared" si="3"/>
        <v>R20b</v>
      </c>
      <c r="S53" s="128" t="s">
        <v>371</v>
      </c>
      <c r="T53" s="128" t="s">
        <v>367</v>
      </c>
      <c r="U53" s="129" t="s">
        <v>243</v>
      </c>
    </row>
    <row r="54" spans="2:21" s="128" customFormat="1">
      <c r="B54" s="130" t="s">
        <v>405</v>
      </c>
      <c r="C54" s="128">
        <f>2.5/1000</f>
        <v>2.5000000000000001E-3</v>
      </c>
      <c r="D54" s="130">
        <v>0.5</v>
      </c>
      <c r="E54" s="128">
        <v>0.8</v>
      </c>
      <c r="F54" s="129">
        <f>2.22</f>
        <v>2.2200000000000002</v>
      </c>
      <c r="G54" s="128">
        <f>G42</f>
        <v>0.1077</v>
      </c>
      <c r="H54" s="128">
        <f>H42</f>
        <v>0.3659</v>
      </c>
      <c r="I54" s="271">
        <v>4</v>
      </c>
      <c r="J54" s="271"/>
      <c r="K54" s="140">
        <f t="shared" si="1"/>
        <v>5.5500000000000002E-3</v>
      </c>
      <c r="L54" s="129" t="str">
        <f t="shared" si="0"/>
        <v>R20c</v>
      </c>
      <c r="M54" s="141" t="s">
        <v>406</v>
      </c>
      <c r="N54" s="142" t="s">
        <v>402</v>
      </c>
      <c r="O54" s="130" t="s">
        <v>190</v>
      </c>
      <c r="P54" s="141" t="s">
        <v>389</v>
      </c>
      <c r="Q54" s="132" t="str">
        <f t="shared" si="2"/>
        <v>R20c: Women with a family history of VTE and known  PGM in the family (low-risk thrombophilia) who are considering using HRT estrogen alone.</v>
      </c>
      <c r="R54" s="130" t="str">
        <f t="shared" si="3"/>
        <v>R20c</v>
      </c>
      <c r="S54" s="128" t="s">
        <v>366</v>
      </c>
      <c r="T54" s="128" t="s">
        <v>367</v>
      </c>
      <c r="U54" s="129" t="s">
        <v>247</v>
      </c>
    </row>
    <row r="55" spans="2:21" s="128" customFormat="1">
      <c r="B55" s="130" t="s">
        <v>407</v>
      </c>
      <c r="C55" s="128">
        <f>2.5/1000</f>
        <v>2.5000000000000001E-3</v>
      </c>
      <c r="D55" s="130">
        <v>0.5</v>
      </c>
      <c r="E55" s="128">
        <v>0.8</v>
      </c>
      <c r="F55" s="129">
        <f>4.28</f>
        <v>4.28</v>
      </c>
      <c r="G55" s="128">
        <f>G43</f>
        <v>0.15590000000000001</v>
      </c>
      <c r="H55" s="128">
        <f>H43</f>
        <v>0.31669999999999998</v>
      </c>
      <c r="I55" s="271">
        <v>4</v>
      </c>
      <c r="J55" s="271"/>
      <c r="K55" s="140">
        <f t="shared" si="1"/>
        <v>1.0700000000000001E-2</v>
      </c>
      <c r="L55" s="129" t="str">
        <f t="shared" si="0"/>
        <v>R20d</v>
      </c>
      <c r="M55" s="141" t="s">
        <v>408</v>
      </c>
      <c r="N55" s="142" t="s">
        <v>402</v>
      </c>
      <c r="O55" s="130" t="s">
        <v>190</v>
      </c>
      <c r="P55" s="141" t="s">
        <v>389</v>
      </c>
      <c r="Q55" s="132" t="str">
        <f t="shared" si="2"/>
        <v>R20d: Women with a family history of VTE and known  PGM in the family (low-risk thrombophilia) who are considering using HRT combined.</v>
      </c>
      <c r="R55" s="130" t="str">
        <f t="shared" si="3"/>
        <v>R20d</v>
      </c>
      <c r="S55" s="128" t="s">
        <v>371</v>
      </c>
      <c r="T55" s="128" t="s">
        <v>367</v>
      </c>
      <c r="U55" s="129" t="s">
        <v>247</v>
      </c>
    </row>
    <row r="56" spans="2:21" s="128" customFormat="1">
      <c r="B56" s="130" t="s">
        <v>409</v>
      </c>
      <c r="C56" s="128">
        <f>8.4/1000</f>
        <v>8.4000000000000012E-3</v>
      </c>
      <c r="D56" s="130">
        <v>0.5</v>
      </c>
      <c r="E56" s="128">
        <v>1.7</v>
      </c>
      <c r="F56" s="129">
        <f>2.22</f>
        <v>2.2200000000000002</v>
      </c>
      <c r="G56" s="128">
        <f>G42</f>
        <v>0.1077</v>
      </c>
      <c r="H56" s="128">
        <f>H42</f>
        <v>0.3659</v>
      </c>
      <c r="I56" s="271">
        <v>4</v>
      </c>
      <c r="J56" s="271"/>
      <c r="K56" s="140">
        <f t="shared" si="1"/>
        <v>1.8648000000000005E-2</v>
      </c>
      <c r="L56" s="129" t="str">
        <f t="shared" si="0"/>
        <v>R20e</v>
      </c>
      <c r="M56" s="141" t="s">
        <v>410</v>
      </c>
      <c r="N56" s="142" t="s">
        <v>411</v>
      </c>
      <c r="O56" s="130" t="s">
        <v>175</v>
      </c>
      <c r="P56" s="141" t="s">
        <v>389</v>
      </c>
      <c r="Q56" s="132" t="str">
        <f t="shared" si="2"/>
        <v>R20e: Women with a family history of VTE and known antithrombin deficiency in the family (high-risk thrombophilia) who are considering using HRT estrogen alone.</v>
      </c>
      <c r="R56" s="130" t="str">
        <f t="shared" si="3"/>
        <v>R20e</v>
      </c>
      <c r="S56" s="128" t="s">
        <v>366</v>
      </c>
      <c r="T56" s="128" t="s">
        <v>367</v>
      </c>
      <c r="U56" s="129" t="s">
        <v>251</v>
      </c>
    </row>
    <row r="57" spans="2:21" s="128" customFormat="1">
      <c r="B57" s="130" t="s">
        <v>412</v>
      </c>
      <c r="C57" s="128">
        <f>8.4/1000</f>
        <v>8.4000000000000012E-3</v>
      </c>
      <c r="D57" s="130">
        <v>0.5</v>
      </c>
      <c r="E57" s="128">
        <v>1.7</v>
      </c>
      <c r="F57" s="129">
        <f>4.28</f>
        <v>4.28</v>
      </c>
      <c r="G57" s="128">
        <f>G43</f>
        <v>0.15590000000000001</v>
      </c>
      <c r="H57" s="128">
        <f>H43</f>
        <v>0.31669999999999998</v>
      </c>
      <c r="I57" s="271">
        <v>4</v>
      </c>
      <c r="J57" s="271"/>
      <c r="K57" s="140">
        <f t="shared" si="1"/>
        <v>3.5952000000000005E-2</v>
      </c>
      <c r="L57" s="129" t="str">
        <f t="shared" si="0"/>
        <v>R20f</v>
      </c>
      <c r="M57" s="141" t="s">
        <v>413</v>
      </c>
      <c r="N57" s="142" t="s">
        <v>411</v>
      </c>
      <c r="O57" s="130" t="s">
        <v>175</v>
      </c>
      <c r="P57" s="141" t="s">
        <v>389</v>
      </c>
      <c r="Q57" s="132" t="str">
        <f t="shared" si="2"/>
        <v>R20f: Women with a family history of VTE and known antithrombin deficiency in the family (high-risk thrombophilia) who are considering using HRT combined.</v>
      </c>
      <c r="R57" s="130" t="str">
        <f t="shared" si="3"/>
        <v>R20f</v>
      </c>
      <c r="S57" s="128" t="s">
        <v>371</v>
      </c>
      <c r="T57" s="128" t="s">
        <v>367</v>
      </c>
      <c r="U57" s="129" t="s">
        <v>251</v>
      </c>
    </row>
    <row r="58" spans="2:21" s="128" customFormat="1">
      <c r="B58" s="130" t="s">
        <v>414</v>
      </c>
      <c r="C58" s="128">
        <f>6.3/1000</f>
        <v>6.3E-3</v>
      </c>
      <c r="D58" s="130">
        <v>0.5</v>
      </c>
      <c r="E58" s="128">
        <v>1.8</v>
      </c>
      <c r="F58" s="129">
        <f>2.22</f>
        <v>2.2200000000000002</v>
      </c>
      <c r="G58" s="128">
        <f>G42</f>
        <v>0.1077</v>
      </c>
      <c r="H58" s="128">
        <f>H42</f>
        <v>0.3659</v>
      </c>
      <c r="I58" s="271">
        <v>4</v>
      </c>
      <c r="J58" s="271"/>
      <c r="K58" s="140">
        <f t="shared" si="1"/>
        <v>1.3986000000000002E-2</v>
      </c>
      <c r="L58" s="129" t="str">
        <f t="shared" si="0"/>
        <v>R20g</v>
      </c>
      <c r="M58" s="141" t="s">
        <v>415</v>
      </c>
      <c r="N58" s="142" t="s">
        <v>411</v>
      </c>
      <c r="O58" s="130" t="s">
        <v>175</v>
      </c>
      <c r="P58" s="141" t="s">
        <v>389</v>
      </c>
      <c r="Q58" s="132" t="str">
        <f t="shared" si="2"/>
        <v>R20g: Women with a family history of VTE and known protein C deficiency in the family (high-risk thrombophilia) who are considering using HRT estrogen alone.</v>
      </c>
      <c r="R58" s="130" t="str">
        <f t="shared" si="3"/>
        <v>R20g</v>
      </c>
      <c r="S58" s="128" t="s">
        <v>366</v>
      </c>
      <c r="T58" s="128" t="s">
        <v>367</v>
      </c>
      <c r="U58" s="129" t="s">
        <v>255</v>
      </c>
    </row>
    <row r="59" spans="2:21" s="128" customFormat="1">
      <c r="B59" s="130" t="s">
        <v>416</v>
      </c>
      <c r="C59" s="128">
        <f>6.3/1000</f>
        <v>6.3E-3</v>
      </c>
      <c r="D59" s="130">
        <v>0.5</v>
      </c>
      <c r="E59" s="128">
        <v>1.8</v>
      </c>
      <c r="F59" s="129">
        <f>4.28</f>
        <v>4.28</v>
      </c>
      <c r="G59" s="128">
        <f>G43</f>
        <v>0.15590000000000001</v>
      </c>
      <c r="H59" s="128">
        <f>H43</f>
        <v>0.31669999999999998</v>
      </c>
      <c r="I59" s="271">
        <v>4</v>
      </c>
      <c r="J59" s="271"/>
      <c r="K59" s="140">
        <f t="shared" si="1"/>
        <v>2.6964000000000002E-2</v>
      </c>
      <c r="L59" s="129" t="str">
        <f t="shared" si="0"/>
        <v>R20h</v>
      </c>
      <c r="M59" s="141" t="s">
        <v>417</v>
      </c>
      <c r="N59" s="142" t="s">
        <v>411</v>
      </c>
      <c r="O59" s="130" t="s">
        <v>175</v>
      </c>
      <c r="P59" s="141" t="s">
        <v>389</v>
      </c>
      <c r="Q59" s="132" t="str">
        <f t="shared" si="2"/>
        <v>R20h: Women with a family history of VTE and known protein C deficiency in the family (high-risk thrombophilia) who are considering using HRT combined.</v>
      </c>
      <c r="R59" s="130" t="str">
        <f t="shared" si="3"/>
        <v>R20h</v>
      </c>
      <c r="S59" s="128" t="s">
        <v>371</v>
      </c>
      <c r="T59" s="128" t="s">
        <v>367</v>
      </c>
      <c r="U59" s="129" t="s">
        <v>255</v>
      </c>
    </row>
    <row r="60" spans="2:21" s="128" customFormat="1">
      <c r="B60" s="130" t="s">
        <v>418</v>
      </c>
      <c r="C60" s="128">
        <f>4.9/1000</f>
        <v>4.9000000000000007E-3</v>
      </c>
      <c r="D60" s="130">
        <v>0.5</v>
      </c>
      <c r="E60" s="128">
        <v>1.9</v>
      </c>
      <c r="F60" s="129">
        <f>2.22</f>
        <v>2.2200000000000002</v>
      </c>
      <c r="G60" s="128">
        <f>G42</f>
        <v>0.1077</v>
      </c>
      <c r="H60" s="128">
        <f>H42</f>
        <v>0.3659</v>
      </c>
      <c r="I60" s="271">
        <v>4</v>
      </c>
      <c r="J60" s="271"/>
      <c r="K60" s="140">
        <f t="shared" si="1"/>
        <v>1.0878000000000002E-2</v>
      </c>
      <c r="L60" s="129" t="str">
        <f t="shared" si="0"/>
        <v>R20i</v>
      </c>
      <c r="M60" s="141" t="s">
        <v>419</v>
      </c>
      <c r="N60" s="142" t="s">
        <v>411</v>
      </c>
      <c r="O60" s="130" t="s">
        <v>175</v>
      </c>
      <c r="P60" s="141" t="s">
        <v>389</v>
      </c>
      <c r="Q60" s="132" t="str">
        <f t="shared" si="2"/>
        <v>R20i: Women with a family history of VTE and known protein S deficiency in the family (high-risk thrombophilia) who are considering using HRT estrogen alone.</v>
      </c>
      <c r="R60" s="130" t="str">
        <f t="shared" si="3"/>
        <v>R20i</v>
      </c>
      <c r="S60" s="128" t="s">
        <v>366</v>
      </c>
      <c r="T60" s="128" t="s">
        <v>367</v>
      </c>
      <c r="U60" s="129" t="s">
        <v>259</v>
      </c>
    </row>
    <row r="61" spans="2:21" s="128" customFormat="1">
      <c r="B61" s="130" t="s">
        <v>420</v>
      </c>
      <c r="C61" s="128">
        <f>4.9/1000</f>
        <v>4.9000000000000007E-3</v>
      </c>
      <c r="D61" s="130">
        <v>0.5</v>
      </c>
      <c r="E61" s="128">
        <v>1.9</v>
      </c>
      <c r="F61" s="129">
        <f>4.28</f>
        <v>4.28</v>
      </c>
      <c r="G61" s="128">
        <f>G43</f>
        <v>0.15590000000000001</v>
      </c>
      <c r="H61" s="128">
        <f>H43</f>
        <v>0.31669999999999998</v>
      </c>
      <c r="I61" s="271">
        <v>4</v>
      </c>
      <c r="J61" s="271"/>
      <c r="K61" s="140">
        <f t="shared" si="1"/>
        <v>2.0972000000000005E-2</v>
      </c>
      <c r="L61" s="129" t="str">
        <f t="shared" si="0"/>
        <v>R20j</v>
      </c>
      <c r="M61" s="141" t="s">
        <v>421</v>
      </c>
      <c r="N61" s="142" t="s">
        <v>411</v>
      </c>
      <c r="O61" s="130" t="s">
        <v>175</v>
      </c>
      <c r="P61" s="141" t="s">
        <v>389</v>
      </c>
      <c r="Q61" s="132" t="str">
        <f t="shared" si="2"/>
        <v>R20j: Women with a family history of VTE and known protein S deficiency in the family (high-risk thrombophilia) who are considering using HRT combined.</v>
      </c>
      <c r="R61" s="130" t="str">
        <f t="shared" si="3"/>
        <v>R20j</v>
      </c>
      <c r="S61" s="128" t="s">
        <v>371</v>
      </c>
      <c r="T61" s="128" t="s">
        <v>367</v>
      </c>
      <c r="U61" s="129" t="s">
        <v>259</v>
      </c>
    </row>
    <row r="62" spans="2:21" s="128" customFormat="1">
      <c r="F62" s="129"/>
      <c r="N62" s="130"/>
      <c r="O62" s="130"/>
      <c r="P62" s="130"/>
      <c r="Q62" s="130"/>
    </row>
    <row r="63" spans="2:21" s="128" customFormat="1">
      <c r="F63" s="129"/>
      <c r="N63" s="130"/>
      <c r="O63" s="130"/>
      <c r="P63" s="130"/>
      <c r="Q63" s="130"/>
    </row>
    <row r="64" spans="2:21" s="128" customFormat="1">
      <c r="F64" s="129"/>
      <c r="N64" s="130"/>
      <c r="O64" s="130"/>
      <c r="P64" s="130"/>
      <c r="Q64" s="130"/>
    </row>
    <row r="65" spans="6:25" s="128" customFormat="1">
      <c r="F65" s="129"/>
      <c r="N65" s="130"/>
      <c r="O65" s="130"/>
      <c r="P65" s="130"/>
      <c r="Q65" s="130"/>
      <c r="S65" s="128">
        <f>1*S67</f>
        <v>0</v>
      </c>
      <c r="T65" s="128">
        <f>1*T67</f>
        <v>0</v>
      </c>
      <c r="U65" s="128">
        <f>1*U67</f>
        <v>1</v>
      </c>
      <c r="W65" s="128">
        <f>SUM(S65:U65)</f>
        <v>1</v>
      </c>
    </row>
    <row r="66" spans="6:25" s="128" customFormat="1">
      <c r="F66" s="129"/>
      <c r="N66" s="130"/>
      <c r="O66" s="130"/>
      <c r="P66" s="144" t="str">
        <f>P74</f>
        <v>Weighted Average  (VTE + severe symptoms of the menopause)</v>
      </c>
      <c r="Q66" s="130"/>
      <c r="S66" s="145" t="str">
        <f>S74</f>
        <v>Regret - Weighted Average  (VTE + severe symptoms of the menopause)</v>
      </c>
    </row>
    <row r="67" spans="6:25" s="128" customFormat="1">
      <c r="F67" s="129"/>
      <c r="N67" s="130"/>
      <c r="O67" s="130"/>
      <c r="P67" s="130"/>
      <c r="Q67" s="130"/>
      <c r="S67" s="128" t="b">
        <f>(S71&lt;$P$10)</f>
        <v>0</v>
      </c>
      <c r="T67" s="128" t="b">
        <f>(T71&lt;$P$10)</f>
        <v>0</v>
      </c>
      <c r="U67" s="128" t="b">
        <f>(U71&lt;$P$10)</f>
        <v>1</v>
      </c>
      <c r="W67" s="128" t="str">
        <f>"Acceptable regret (Rg = "&amp;P10&amp;")"</f>
        <v>Acceptable regret (Rg = 5)</v>
      </c>
    </row>
    <row r="68" spans="6:25" s="128" customFormat="1">
      <c r="F68" s="129"/>
      <c r="N68" s="130"/>
      <c r="O68" s="130"/>
      <c r="P68" s="146" t="s">
        <v>195</v>
      </c>
      <c r="Q68" s="146" t="s">
        <v>175</v>
      </c>
      <c r="R68" s="146" t="s">
        <v>190</v>
      </c>
      <c r="S68" s="136" t="s">
        <v>195</v>
      </c>
      <c r="T68" s="136" t="s">
        <v>175</v>
      </c>
      <c r="U68" s="136" t="s">
        <v>190</v>
      </c>
      <c r="X68" s="128">
        <f>MIN(I76:I101)</f>
        <v>1E-4</v>
      </c>
      <c r="Y68" s="128">
        <f>MAX(I76:I101)</f>
        <v>0.21163934426229503</v>
      </c>
    </row>
    <row r="69" spans="6:25" s="128" customFormat="1">
      <c r="F69" s="129"/>
      <c r="G69" s="128" t="str">
        <f>"Treatment threshold("&amp;ROUND(100*I69,2)&amp;"%)"</f>
        <v>Treatment threshold(12.4%)</v>
      </c>
      <c r="I69" s="147">
        <f>N28</f>
        <v>0.12402065573770488</v>
      </c>
      <c r="J69" s="148">
        <f t="shared" ref="J69:J71" si="7">I69*$F$28</f>
        <v>124.02065573770487</v>
      </c>
      <c r="K69" s="148">
        <f t="shared" ref="K69:K71" si="8">I69*($F$30*$F$31+(1-$F$30)*$J$35)/($F$31*$F$30+(1-$F$30))*$F$28</f>
        <v>257.63915573770481</v>
      </c>
      <c r="L69" s="148">
        <f t="shared" ref="L69:L71" si="9">I69*$J$35*$F$28</f>
        <v>275.32585573770484</v>
      </c>
      <c r="M69" s="148">
        <f t="shared" ref="M69:M71" si="10">$L$33*$F$28</f>
        <v>365.9</v>
      </c>
      <c r="N69" s="148">
        <f t="shared" ref="N69:N71" si="11">($F$30+(1-$F$30)*$L$31)*$L$33*$F$28</f>
        <v>125.38670000000002</v>
      </c>
      <c r="O69" s="148">
        <f t="shared" ref="O69:O71" si="12">$L$32*$F$28</f>
        <v>107.7</v>
      </c>
      <c r="P69" s="148">
        <f t="shared" ref="P69:P71" si="13">(J69+$H$10*M69)/(1+$H$10)</f>
        <v>244.96032786885243</v>
      </c>
      <c r="Q69" s="148">
        <f t="shared" ref="Q69:Q71" si="14">(K69+$H$10*N69)/(1+$H$10)</f>
        <v>191.51292786885242</v>
      </c>
      <c r="R69" s="148">
        <f t="shared" ref="R69:R71" si="15">(L69+$H$10*O69)/(1+$H$10)</f>
        <v>191.51292786885242</v>
      </c>
      <c r="S69" s="148">
        <f t="shared" ref="S69:S71" si="16">P69-MIN(P69:R69)</f>
        <v>53.447400000000016</v>
      </c>
      <c r="T69" s="148">
        <f t="shared" ref="T69:T71" si="17">Q69-MIN(P69:R69)</f>
        <v>0</v>
      </c>
      <c r="U69" s="148">
        <f t="shared" ref="U69:U71" si="18">R69-MIN(P69:R69)</f>
        <v>0</v>
      </c>
      <c r="X69" s="128">
        <f>P10</f>
        <v>5</v>
      </c>
      <c r="Y69" s="128">
        <f>X69</f>
        <v>5</v>
      </c>
    </row>
    <row r="70" spans="6:25" s="128" customFormat="1">
      <c r="F70" s="129"/>
      <c r="G70" s="128" t="str">
        <f>"Testing threshold ("&amp;ROUND(100*I70,2)&amp;"%)"</f>
        <v>Testing threshold (22.32%)</v>
      </c>
      <c r="I70" s="147">
        <f>R28</f>
        <v>0.22323718032786879</v>
      </c>
      <c r="J70" s="148">
        <f t="shared" si="7"/>
        <v>223.2371803278688</v>
      </c>
      <c r="K70" s="148">
        <f t="shared" si="8"/>
        <v>463.75048032786873</v>
      </c>
      <c r="L70" s="148">
        <f t="shared" si="9"/>
        <v>495.58654032786876</v>
      </c>
      <c r="M70" s="148">
        <f t="shared" si="10"/>
        <v>365.9</v>
      </c>
      <c r="N70" s="148">
        <f t="shared" si="11"/>
        <v>125.38670000000002</v>
      </c>
      <c r="O70" s="148">
        <f t="shared" si="12"/>
        <v>107.7</v>
      </c>
      <c r="P70" s="148">
        <f t="shared" si="13"/>
        <v>294.5685901639344</v>
      </c>
      <c r="Q70" s="148">
        <f t="shared" si="14"/>
        <v>294.56859016393435</v>
      </c>
      <c r="R70" s="148">
        <f t="shared" si="15"/>
        <v>301.6432701639344</v>
      </c>
      <c r="S70" s="148">
        <f t="shared" si="16"/>
        <v>0</v>
      </c>
      <c r="T70" s="148">
        <f t="shared" si="17"/>
        <v>0</v>
      </c>
      <c r="U70" s="148">
        <f t="shared" si="18"/>
        <v>7.0746800000000576</v>
      </c>
    </row>
    <row r="71" spans="6:25" s="128" customFormat="1">
      <c r="F71" s="129"/>
      <c r="H71" s="128" t="str">
        <f>"Case "&amp;B3&amp;" (p="&amp;ROUND(100*I73,2)&amp;"%)"</f>
        <v>Case R16a (p=0.2%)</v>
      </c>
      <c r="I71" s="147">
        <f>F29</f>
        <v>2E-3</v>
      </c>
      <c r="J71" s="148">
        <f t="shared" si="7"/>
        <v>2</v>
      </c>
      <c r="K71" s="148">
        <f t="shared" si="8"/>
        <v>4.1547781569965876</v>
      </c>
      <c r="L71" s="148">
        <f t="shared" si="9"/>
        <v>4.4400000000000004</v>
      </c>
      <c r="M71" s="148">
        <f t="shared" si="10"/>
        <v>365.9</v>
      </c>
      <c r="N71" s="148">
        <f t="shared" si="11"/>
        <v>125.38670000000002</v>
      </c>
      <c r="O71" s="148">
        <f t="shared" si="12"/>
        <v>107.7</v>
      </c>
      <c r="P71" s="148">
        <f t="shared" si="13"/>
        <v>183.95</v>
      </c>
      <c r="Q71" s="148">
        <f t="shared" si="14"/>
        <v>64.770739078498309</v>
      </c>
      <c r="R71" s="148">
        <f t="shared" si="15"/>
        <v>56.07</v>
      </c>
      <c r="S71" s="148">
        <f t="shared" si="16"/>
        <v>127.88</v>
      </c>
      <c r="T71" s="148">
        <f t="shared" si="17"/>
        <v>8.7007390784983087</v>
      </c>
      <c r="U71" s="148">
        <f t="shared" si="18"/>
        <v>0</v>
      </c>
    </row>
    <row r="72" spans="6:25" s="128" customFormat="1">
      <c r="F72" s="129"/>
      <c r="H72" s="128" t="s">
        <v>222</v>
      </c>
      <c r="J72" s="145"/>
      <c r="K72" s="145"/>
      <c r="L72" s="145"/>
      <c r="M72" s="145"/>
      <c r="N72" s="135"/>
      <c r="O72" s="135"/>
      <c r="P72" s="135"/>
      <c r="Q72" s="135"/>
      <c r="R72" s="145"/>
      <c r="S72" s="145"/>
      <c r="T72" s="145"/>
      <c r="U72" s="145"/>
    </row>
    <row r="73" spans="6:25" s="128" customFormat="1">
      <c r="F73" s="129"/>
      <c r="H73" s="128" t="str">
        <f>H71</f>
        <v>Case R16a (p=0.2%)</v>
      </c>
      <c r="I73" s="128">
        <f>F29</f>
        <v>2E-3</v>
      </c>
      <c r="J73" s="145"/>
      <c r="K73" s="145"/>
      <c r="L73" s="145"/>
      <c r="M73" s="145"/>
      <c r="N73" s="135"/>
      <c r="O73" s="135"/>
      <c r="P73" s="135"/>
      <c r="Q73" s="135"/>
      <c r="R73" s="145"/>
      <c r="S73" s="145"/>
      <c r="T73" s="145" t="s">
        <v>330</v>
      </c>
      <c r="U73" s="145"/>
    </row>
    <row r="74" spans="6:25" s="128" customFormat="1">
      <c r="F74" s="129"/>
      <c r="J74" s="320" t="s">
        <v>223</v>
      </c>
      <c r="K74" s="320"/>
      <c r="L74" s="320"/>
      <c r="M74" s="320" t="str">
        <f>"N("&amp;K27&amp;")"</f>
        <v>N(severe symptoms of the menopause)</v>
      </c>
      <c r="N74" s="320"/>
      <c r="O74" s="320"/>
      <c r="P74" s="321" t="str">
        <f>"Weighted Average  (VTE + "&amp;K27&amp;")"</f>
        <v>Weighted Average  (VTE + severe symptoms of the menopause)</v>
      </c>
      <c r="Q74" s="321"/>
      <c r="R74" s="321"/>
      <c r="S74" s="322" t="str">
        <f>"Regret - "&amp;P74</f>
        <v>Regret - Weighted Average  (VTE + severe symptoms of the menopause)</v>
      </c>
      <c r="T74" s="322"/>
      <c r="U74" s="322"/>
      <c r="X74" s="128" t="str">
        <f>G69</f>
        <v>Treatment threshold(12.4%)</v>
      </c>
    </row>
    <row r="75" spans="6:25" s="128" customFormat="1">
      <c r="F75" s="129"/>
      <c r="I75" s="128" t="s">
        <v>227</v>
      </c>
      <c r="J75" s="146" t="s">
        <v>195</v>
      </c>
      <c r="K75" s="146" t="s">
        <v>175</v>
      </c>
      <c r="L75" s="146" t="s">
        <v>190</v>
      </c>
      <c r="M75" s="146" t="s">
        <v>195</v>
      </c>
      <c r="N75" s="146" t="s">
        <v>175</v>
      </c>
      <c r="O75" s="146" t="s">
        <v>190</v>
      </c>
      <c r="P75" s="146" t="s">
        <v>195</v>
      </c>
      <c r="Q75" s="146" t="s">
        <v>175</v>
      </c>
      <c r="R75" s="146" t="s">
        <v>190</v>
      </c>
      <c r="S75" s="146" t="s">
        <v>195</v>
      </c>
      <c r="T75" s="146" t="s">
        <v>175</v>
      </c>
      <c r="U75" s="146" t="s">
        <v>190</v>
      </c>
      <c r="X75" s="147">
        <f>I69</f>
        <v>0.12402065573770488</v>
      </c>
      <c r="Y75" s="147">
        <f>I69</f>
        <v>0.12402065573770488</v>
      </c>
    </row>
    <row r="76" spans="6:25" s="128" customFormat="1">
      <c r="F76" s="129"/>
      <c r="I76" s="147">
        <v>1E-4</v>
      </c>
      <c r="J76" s="148">
        <f>I76*$F$28</f>
        <v>0.1</v>
      </c>
      <c r="K76" s="148">
        <f>I76*($F$30*$F$31+(1-$F$30)*$J$35)/($F$31*$F$30+(1-$F$30))*$F$28</f>
        <v>0.2077389078498294</v>
      </c>
      <c r="L76" s="148">
        <f>I76*$J$35*$F$28</f>
        <v>0.22200000000000003</v>
      </c>
      <c r="M76" s="148">
        <f>$L$33*$F$28</f>
        <v>365.9</v>
      </c>
      <c r="N76" s="148">
        <f>($F$30+(1-$F$30)*$L$31)*$L$33*$F$28</f>
        <v>125.38670000000002</v>
      </c>
      <c r="O76" s="148">
        <f>$L$32*$F$28</f>
        <v>107.7</v>
      </c>
      <c r="P76" s="148">
        <f>(J76+$H$10*M76)/(1+$H$10)</f>
        <v>183</v>
      </c>
      <c r="Q76" s="148">
        <f>(K76+$H$10*N76)/(1+$H$10)</f>
        <v>62.797219453924924</v>
      </c>
      <c r="R76" s="148">
        <f>(L76+$H$10*O76)/(1+$H$10)</f>
        <v>53.960999999999999</v>
      </c>
      <c r="S76" s="148">
        <f t="shared" ref="S76" si="19">P76-MIN(P76:R76)</f>
        <v>129.03899999999999</v>
      </c>
      <c r="T76" s="148">
        <f t="shared" ref="T76" si="20">Q76-MIN(P76:R76)</f>
        <v>8.8362194539249259</v>
      </c>
      <c r="U76" s="148">
        <f t="shared" ref="U76" si="21">R76-MIN(P76:R76)</f>
        <v>0</v>
      </c>
      <c r="W76" s="136" t="s">
        <v>228</v>
      </c>
      <c r="X76" s="149">
        <f>0</f>
        <v>0</v>
      </c>
      <c r="Y76" s="150">
        <f>Q69</f>
        <v>191.51292786885242</v>
      </c>
    </row>
    <row r="77" spans="6:25" s="128" customFormat="1">
      <c r="F77" s="129"/>
      <c r="I77" s="147">
        <f>MIN(MAX(0.0001,N28),R28)</f>
        <v>0.12402065573770488</v>
      </c>
      <c r="J77" s="148">
        <f t="shared" ref="J77:J81" si="22">I77*$F$28</f>
        <v>124.02065573770487</v>
      </c>
      <c r="K77" s="148">
        <f t="shared" ref="K77:K79" si="23">I77*($F$30*$F$31+(1-$F$30)*$J$35)/($F$31*$F$30+(1-$F$30))*$F$28</f>
        <v>257.63915573770481</v>
      </c>
      <c r="L77" s="148">
        <f t="shared" ref="L77:L79" si="24">I77*$J$35*$F$28</f>
        <v>275.32585573770484</v>
      </c>
      <c r="M77" s="148">
        <f t="shared" ref="M77:M81" si="25">$L$33*$F$28</f>
        <v>365.9</v>
      </c>
      <c r="N77" s="148">
        <f t="shared" ref="N77:N81" si="26">($F$30+(1-$F$30)*$L$31)*$L$33*$F$28</f>
        <v>125.38670000000002</v>
      </c>
      <c r="O77" s="148">
        <f t="shared" ref="O77:O81" si="27">$L$32*$F$28</f>
        <v>107.7</v>
      </c>
      <c r="P77" s="148">
        <f t="shared" ref="P77:P79" si="28">(J77+$H$10*M77)/(1+$H$10)</f>
        <v>244.96032786885243</v>
      </c>
      <c r="Q77" s="148">
        <f t="shared" ref="Q77:Q81" si="29">(K77+$H$10*N77)/(1+$H$10)</f>
        <v>191.51292786885242</v>
      </c>
      <c r="R77" s="148">
        <f t="shared" ref="R77:R81" si="30">(L77+$H$10*O77)/(1+$H$10)</f>
        <v>191.51292786885242</v>
      </c>
      <c r="S77" s="148">
        <f t="shared" ref="S77:S79" si="31">P77-MIN(P77:R77)</f>
        <v>53.447400000000016</v>
      </c>
      <c r="T77" s="148">
        <f t="shared" ref="T77:T79" si="32">Q77-MIN(P77:R77)</f>
        <v>0</v>
      </c>
      <c r="U77" s="148">
        <f t="shared" ref="U77:U79" si="33">R77-MIN(P77:R77)</f>
        <v>0</v>
      </c>
      <c r="W77" s="128" t="s">
        <v>229</v>
      </c>
      <c r="X77" s="149">
        <f>0</f>
        <v>0</v>
      </c>
      <c r="Y77" s="139">
        <f>P10</f>
        <v>5</v>
      </c>
    </row>
    <row r="78" spans="6:25" s="128" customFormat="1">
      <c r="F78" s="129"/>
      <c r="I78" s="147">
        <f>MAX(N28,MIN(R28,I79))</f>
        <v>0.12402065573770488</v>
      </c>
      <c r="J78" s="148">
        <f t="shared" si="22"/>
        <v>124.02065573770487</v>
      </c>
      <c r="K78" s="148">
        <f t="shared" si="23"/>
        <v>257.63915573770481</v>
      </c>
      <c r="L78" s="148">
        <f t="shared" si="24"/>
        <v>275.32585573770484</v>
      </c>
      <c r="M78" s="148">
        <f t="shared" si="25"/>
        <v>365.9</v>
      </c>
      <c r="N78" s="148">
        <f t="shared" si="26"/>
        <v>125.38670000000002</v>
      </c>
      <c r="O78" s="148">
        <f t="shared" si="27"/>
        <v>107.7</v>
      </c>
      <c r="P78" s="148">
        <f t="shared" si="28"/>
        <v>244.96032786885243</v>
      </c>
      <c r="Q78" s="148">
        <f t="shared" si="29"/>
        <v>191.51292786885242</v>
      </c>
      <c r="R78" s="148">
        <f t="shared" si="30"/>
        <v>191.51292786885242</v>
      </c>
      <c r="S78" s="148">
        <f t="shared" si="31"/>
        <v>53.447400000000016</v>
      </c>
      <c r="T78" s="148">
        <f t="shared" si="32"/>
        <v>0</v>
      </c>
      <c r="U78" s="148">
        <f t="shared" si="33"/>
        <v>0</v>
      </c>
    </row>
    <row r="79" spans="6:25" s="128" customFormat="1">
      <c r="F79" s="129"/>
      <c r="I79" s="147">
        <v>0.11</v>
      </c>
      <c r="J79" s="148">
        <f t="shared" si="22"/>
        <v>110</v>
      </c>
      <c r="K79" s="148">
        <f t="shared" si="23"/>
        <v>228.5127986348123</v>
      </c>
      <c r="L79" s="148">
        <f t="shared" si="24"/>
        <v>244.20000000000002</v>
      </c>
      <c r="M79" s="148">
        <f t="shared" si="25"/>
        <v>365.9</v>
      </c>
      <c r="N79" s="148">
        <f t="shared" si="26"/>
        <v>125.38670000000002</v>
      </c>
      <c r="O79" s="148">
        <f t="shared" si="27"/>
        <v>107.7</v>
      </c>
      <c r="P79" s="148">
        <f t="shared" si="28"/>
        <v>237.95</v>
      </c>
      <c r="Q79" s="148">
        <f t="shared" si="29"/>
        <v>176.94974931740614</v>
      </c>
      <c r="R79" s="148">
        <f t="shared" si="30"/>
        <v>175.95000000000002</v>
      </c>
      <c r="S79" s="148">
        <f t="shared" si="31"/>
        <v>61.999999999999972</v>
      </c>
      <c r="T79" s="148">
        <f t="shared" si="32"/>
        <v>0.9997493174061276</v>
      </c>
      <c r="U79" s="148">
        <f t="shared" si="33"/>
        <v>0</v>
      </c>
    </row>
    <row r="80" spans="6:25" s="128" customFormat="1">
      <c r="F80" s="129"/>
      <c r="N80" s="130"/>
      <c r="O80" s="130"/>
      <c r="P80" s="148"/>
      <c r="Q80" s="148"/>
      <c r="R80" s="148"/>
      <c r="X80" s="128" t="str">
        <f>G70</f>
        <v>Testing threshold (22.32%)</v>
      </c>
    </row>
    <row r="81" spans="6:25" s="128" customFormat="1">
      <c r="F81" s="129"/>
      <c r="G81" s="128" t="s">
        <v>331</v>
      </c>
      <c r="H81" s="128" t="s">
        <v>422</v>
      </c>
      <c r="I81" s="151">
        <f>P28</f>
        <v>0.21163934426229503</v>
      </c>
      <c r="J81" s="148">
        <f t="shared" si="22"/>
        <v>211.63934426229503</v>
      </c>
      <c r="K81" s="148">
        <f t="shared" ref="K81" si="34">I81*($F$30*$F$31+(1-$F$30)*$J$35)/($F$31*$F$30+(1-$F$30))*$F$28</f>
        <v>439.65726235103222</v>
      </c>
      <c r="L81" s="148">
        <f t="shared" ref="L81" si="35">I81*$J$35*$F$28</f>
        <v>469.83934426229501</v>
      </c>
      <c r="M81" s="148">
        <f t="shared" si="25"/>
        <v>365.9</v>
      </c>
      <c r="N81" s="148">
        <f t="shared" si="26"/>
        <v>125.38670000000002</v>
      </c>
      <c r="O81" s="148">
        <f t="shared" si="27"/>
        <v>107.7</v>
      </c>
      <c r="P81" s="148">
        <f>(J81+$H$10*M81)/(1+$H$10)</f>
        <v>288.7696721311475</v>
      </c>
      <c r="Q81" s="148">
        <f t="shared" si="29"/>
        <v>282.52198117551609</v>
      </c>
      <c r="R81" s="148">
        <f t="shared" si="30"/>
        <v>288.7696721311475</v>
      </c>
      <c r="S81" s="148">
        <f t="shared" ref="S81" si="36">P81-MIN(P81:R81)</f>
        <v>6.2476909556314126</v>
      </c>
      <c r="T81" s="148">
        <f t="shared" ref="T81" si="37">Q81-MIN(P81:R81)</f>
        <v>0</v>
      </c>
      <c r="U81" s="148">
        <f t="shared" ref="U81" si="38">R81-MIN(P81:R81)</f>
        <v>6.2476909556314126</v>
      </c>
      <c r="X81" s="147">
        <f>I70</f>
        <v>0.22323718032786879</v>
      </c>
      <c r="Y81" s="152">
        <f>I70</f>
        <v>0.22323718032786879</v>
      </c>
    </row>
    <row r="82" spans="6:25" s="128" customFormat="1">
      <c r="F82" s="129"/>
      <c r="N82" s="130"/>
      <c r="O82" s="130"/>
      <c r="P82" s="130"/>
      <c r="Q82" s="130"/>
      <c r="W82" s="136" t="s">
        <v>228</v>
      </c>
      <c r="X82" s="150">
        <v>0</v>
      </c>
      <c r="Y82" s="150">
        <f>Q70</f>
        <v>294.56859016393435</v>
      </c>
    </row>
    <row r="83" spans="6:25" s="128" customFormat="1">
      <c r="F83" s="129"/>
      <c r="J83" s="150"/>
      <c r="K83" s="150"/>
      <c r="L83" s="149"/>
      <c r="M83" s="150"/>
      <c r="N83" s="150"/>
      <c r="O83" s="150"/>
      <c r="P83" s="150">
        <f>P81-R81</f>
        <v>0</v>
      </c>
      <c r="Q83" s="150"/>
      <c r="R83" s="150"/>
      <c r="S83" s="150"/>
      <c r="T83" s="150"/>
      <c r="U83" s="150"/>
      <c r="W83" s="128" t="s">
        <v>229</v>
      </c>
      <c r="X83" s="150">
        <v>0</v>
      </c>
      <c r="Y83" s="150">
        <f>P10</f>
        <v>5</v>
      </c>
    </row>
    <row r="84" spans="6:25" s="128" customFormat="1">
      <c r="F84" s="129"/>
      <c r="J84" s="150"/>
      <c r="K84" s="150"/>
      <c r="L84" s="149"/>
      <c r="M84" s="150"/>
      <c r="N84" s="150"/>
      <c r="O84" s="150"/>
      <c r="P84" s="150"/>
      <c r="Q84" s="150"/>
      <c r="R84" s="150"/>
      <c r="S84" s="150"/>
      <c r="T84" s="150"/>
      <c r="U84" s="150"/>
    </row>
    <row r="85" spans="6:25" s="128" customFormat="1">
      <c r="F85" s="129"/>
      <c r="J85" s="150"/>
      <c r="K85" s="150"/>
      <c r="L85" s="149"/>
      <c r="M85" s="150"/>
      <c r="N85" s="150"/>
      <c r="O85" s="150"/>
      <c r="P85" s="150"/>
      <c r="Q85" s="150"/>
      <c r="R85" s="150"/>
      <c r="S85" s="150"/>
      <c r="T85" s="150"/>
      <c r="U85" s="150"/>
    </row>
    <row r="86" spans="6:25" s="128" customFormat="1">
      <c r="F86" s="129"/>
      <c r="J86" s="150"/>
      <c r="K86" s="150"/>
      <c r="L86" s="149"/>
      <c r="M86" s="150"/>
      <c r="N86" s="150"/>
      <c r="O86" s="150"/>
      <c r="P86" s="150"/>
      <c r="Q86" s="150"/>
      <c r="R86" s="150"/>
      <c r="S86" s="150"/>
      <c r="T86" s="150"/>
      <c r="U86" s="150"/>
      <c r="X86" s="128" t="str">
        <f>H73</f>
        <v>Case R16a (p=0.2%)</v>
      </c>
    </row>
    <row r="87" spans="6:25" s="128" customFormat="1">
      <c r="F87" s="129"/>
      <c r="J87" s="150"/>
      <c r="K87" s="150"/>
      <c r="L87" s="149"/>
      <c r="M87" s="150"/>
      <c r="N87" s="150"/>
      <c r="O87" s="150"/>
      <c r="P87" s="150"/>
      <c r="Q87" s="150"/>
      <c r="R87" s="150"/>
      <c r="S87" s="150"/>
      <c r="T87" s="150"/>
      <c r="U87" s="150"/>
      <c r="X87" s="130">
        <f>I73</f>
        <v>2E-3</v>
      </c>
      <c r="Y87" s="130">
        <f>X87</f>
        <v>2E-3</v>
      </c>
    </row>
    <row r="88" spans="6:25" s="128" customFormat="1">
      <c r="F88" s="129"/>
      <c r="J88" s="150"/>
      <c r="K88" s="150"/>
      <c r="L88" s="149"/>
      <c r="M88" s="150"/>
      <c r="N88" s="150"/>
      <c r="O88" s="150"/>
      <c r="P88" s="150"/>
      <c r="Q88" s="150"/>
      <c r="R88" s="150"/>
      <c r="S88" s="150"/>
      <c r="T88" s="150"/>
      <c r="U88" s="150"/>
      <c r="W88" s="136" t="s">
        <v>228</v>
      </c>
      <c r="X88" s="149">
        <v>0</v>
      </c>
      <c r="Y88" s="149">
        <f>MIN(P71:R71)</f>
        <v>56.07</v>
      </c>
    </row>
    <row r="89" spans="6:25" s="128" customFormat="1">
      <c r="F89" s="129"/>
      <c r="J89" s="150"/>
      <c r="K89" s="150"/>
      <c r="L89" s="149"/>
      <c r="M89" s="150"/>
      <c r="N89" s="150"/>
      <c r="O89" s="150"/>
      <c r="P89" s="150"/>
      <c r="Q89" s="150"/>
      <c r="R89" s="150"/>
      <c r="S89" s="150"/>
      <c r="T89" s="150"/>
      <c r="U89" s="150"/>
      <c r="W89" s="128" t="s">
        <v>229</v>
      </c>
      <c r="X89" s="149">
        <v>0</v>
      </c>
      <c r="Y89" s="149">
        <f>P10</f>
        <v>5</v>
      </c>
    </row>
    <row r="90" spans="6:25" s="128" customFormat="1">
      <c r="F90" s="129"/>
      <c r="J90" s="150"/>
      <c r="K90" s="150"/>
      <c r="L90" s="149"/>
      <c r="M90" s="150"/>
      <c r="N90" s="150"/>
      <c r="O90" s="150"/>
      <c r="P90" s="150"/>
      <c r="Q90" s="150"/>
      <c r="R90" s="150"/>
      <c r="S90" s="150"/>
      <c r="T90" s="150"/>
      <c r="U90" s="150"/>
    </row>
    <row r="91" spans="6:25" s="128" customFormat="1">
      <c r="F91" s="129"/>
      <c r="N91" s="130"/>
      <c r="O91" s="130"/>
      <c r="P91" s="130"/>
      <c r="Q91" s="130"/>
    </row>
    <row r="92" spans="6:25" s="128" customFormat="1">
      <c r="F92" s="129"/>
      <c r="N92" s="130"/>
      <c r="O92" s="130"/>
      <c r="P92" s="130"/>
      <c r="Q92" s="130"/>
    </row>
    <row r="93" spans="6:25" s="128" customFormat="1">
      <c r="F93" s="129"/>
      <c r="N93" s="130"/>
      <c r="O93" s="130"/>
      <c r="P93" s="130"/>
      <c r="Q93" s="130"/>
    </row>
    <row r="94" spans="6:25" s="128" customFormat="1">
      <c r="F94" s="129"/>
      <c r="N94" s="130"/>
      <c r="O94" s="130"/>
      <c r="P94" s="130"/>
      <c r="Q94" s="130"/>
    </row>
    <row r="95" spans="6:25" s="128" customFormat="1">
      <c r="F95" s="129"/>
      <c r="N95" s="130"/>
      <c r="O95" s="130"/>
      <c r="P95" s="130"/>
      <c r="Q95" s="130"/>
    </row>
    <row r="96" spans="6:25" s="128" customFormat="1">
      <c r="F96" s="129"/>
      <c r="N96" s="130"/>
      <c r="O96" s="130"/>
      <c r="P96" s="130"/>
      <c r="Q96" s="130"/>
    </row>
    <row r="97" spans="6:17" s="128" customFormat="1">
      <c r="F97" s="129"/>
      <c r="N97" s="130"/>
      <c r="O97" s="130"/>
      <c r="P97" s="130"/>
      <c r="Q97" s="130"/>
    </row>
    <row r="98" spans="6:17" s="128" customFormat="1">
      <c r="F98" s="129"/>
      <c r="N98" s="130"/>
      <c r="O98" s="130"/>
      <c r="P98" s="130"/>
      <c r="Q98" s="130"/>
    </row>
    <row r="99" spans="6:17" s="128" customFormat="1">
      <c r="F99" s="129"/>
      <c r="N99" s="130"/>
      <c r="O99" s="130"/>
      <c r="P99" s="130"/>
      <c r="Q99" s="130"/>
    </row>
  </sheetData>
  <sheetProtection algorithmName="SHA-512" hashValue="jCDOa8mknm1DPhH2sgslWjMVn1nIHCPY6s84YkGvQA9YQHTed+9zoPNfcw8C2kj/06JzZTzweKXsJ83Sx5FSDQ==" saltValue="uxFC0NbyMk6/PYeFQ9wCRg==" spinCount="100000" sheet="1" objects="1" scenarios="1"/>
  <mergeCells count="65">
    <mergeCell ref="J74:L74"/>
    <mergeCell ref="M74:O74"/>
    <mergeCell ref="P74:R74"/>
    <mergeCell ref="S74:U74"/>
    <mergeCell ref="I61:J61"/>
    <mergeCell ref="I56:J56"/>
    <mergeCell ref="I57:J57"/>
    <mergeCell ref="I58:J58"/>
    <mergeCell ref="I59:J59"/>
    <mergeCell ref="I60:J60"/>
    <mergeCell ref="Q33:Q34"/>
    <mergeCell ref="R33:S34"/>
    <mergeCell ref="B30:E30"/>
    <mergeCell ref="G30:H30"/>
    <mergeCell ref="N30:S32"/>
    <mergeCell ref="B31:E31"/>
    <mergeCell ref="B33:F33"/>
    <mergeCell ref="N33:P34"/>
    <mergeCell ref="B34:E34"/>
    <mergeCell ref="B32:F32"/>
    <mergeCell ref="I52:J52"/>
    <mergeCell ref="I53:J53"/>
    <mergeCell ref="I54:J54"/>
    <mergeCell ref="I55:J55"/>
    <mergeCell ref="R35:S35"/>
    <mergeCell ref="R36:S36"/>
    <mergeCell ref="R37:S37"/>
    <mergeCell ref="I50:J50"/>
    <mergeCell ref="I51:J51"/>
    <mergeCell ref="I45:J45"/>
    <mergeCell ref="I46:J46"/>
    <mergeCell ref="I47:J47"/>
    <mergeCell ref="I48:J48"/>
    <mergeCell ref="I49:J49"/>
    <mergeCell ref="I41:J41"/>
    <mergeCell ref="I42:J42"/>
    <mergeCell ref="N37:P37"/>
    <mergeCell ref="B35:I35"/>
    <mergeCell ref="N35:P35"/>
    <mergeCell ref="N36:P36"/>
    <mergeCell ref="I40:J40"/>
    <mergeCell ref="G39:H39"/>
    <mergeCell ref="B1:U1"/>
    <mergeCell ref="D2:U2"/>
    <mergeCell ref="P14:U16"/>
    <mergeCell ref="C15:N16"/>
    <mergeCell ref="C18:U20"/>
    <mergeCell ref="C3:U4"/>
    <mergeCell ref="C10:F10"/>
    <mergeCell ref="I43:J43"/>
    <mergeCell ref="I44:J44"/>
    <mergeCell ref="G23:U23"/>
    <mergeCell ref="B27:F27"/>
    <mergeCell ref="N27:S27"/>
    <mergeCell ref="B28:E28"/>
    <mergeCell ref="N28:O28"/>
    <mergeCell ref="P28:Q28"/>
    <mergeCell ref="R28:S28"/>
    <mergeCell ref="B29:E29"/>
    <mergeCell ref="R29:S29"/>
    <mergeCell ref="P29:Q29"/>
    <mergeCell ref="N29:O29"/>
    <mergeCell ref="B37:B40"/>
    <mergeCell ref="C37:C40"/>
    <mergeCell ref="D37:I37"/>
  </mergeCells>
  <dataValidations count="2">
    <dataValidation type="list" allowBlank="1" showInputMessage="1" showErrorMessage="1" sqref="G5" xr:uid="{8ED2174D-6A04-4CC1-ADCA-F4ED8D5D8D1C}">
      <formula1>$K$27:$L$27</formula1>
    </dataValidation>
    <dataValidation type="list" allowBlank="1" showInputMessage="1" showErrorMessage="1" sqref="D2:U2" xr:uid="{ECBE6143-2291-4FBF-8E0D-98C37935F9EB}">
      <formula1>$Q$41:$Q$61</formula1>
    </dataValidation>
  </dataValidations>
  <hyperlinks>
    <hyperlink ref="G23" r:id="rId1" xr:uid="{56F58E3F-C504-4FA8-9D8D-C6ABE547AC78}"/>
    <hyperlink ref="AA38" r:id="rId2" xr:uid="{11E9CF61-81EB-450E-9690-19D4203C33CC}"/>
    <hyperlink ref="AA36" r:id="rId3" xr:uid="{0E4FA35D-797C-41BD-87AB-60609DD55D72}"/>
    <hyperlink ref="AA39" r:id="rId4" xr:uid="{0FFF43C4-5819-4D3A-80D7-E25DC5B81EF4}"/>
    <hyperlink ref="AA42" r:id="rId5" display="https://nam12.safelinks.protection.outlook.com/?url=https%3A%2F%2Fwww.cochranelibrary.com%2Fcdsr%2Fdoi%2F10.1002%2F14651858.CD002978.pub2%2Ffull&amp;data=05%7C02%7Cihozo%40iu.edu%7C17c0c32202674030aa9508dc5728195f%7C1113be34aed14d00ab4bcdd02510be91%7C0%7C0%7C638481077169204924%7CUnknown%7CTWFpbGZsb3d8eyJWIjoiMC4wLjAwMDAiLCJQIjoiV2luMzIiLCJBTiI6Ik1haWwiLCJXVCI6Mn0%3D%7C0%7C%7C%7C&amp;sdata=Bb0oc0T3eh4I7YAAdVCDp864LpDf6iK%2BqQxaWiwgpZ4%3D&amp;reserved=0" xr:uid="{7340C0AE-A842-4B12-BD7A-ED7C02499C40}"/>
    <hyperlink ref="R22" r:id="rId6" xr:uid="{102B92FA-D039-49D6-86DA-A7CDD1EC6418}"/>
  </hyperlinks>
  <pageMargins left="0.7" right="0.7" top="0.75" bottom="0.75" header="0.3" footer="0.3"/>
  <pageSetup orientation="portrait"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44793-3211-46A8-8565-8B80AB9AAE96}">
  <dimension ref="B1:M82"/>
  <sheetViews>
    <sheetView workbookViewId="0">
      <selection activeCell="H8" sqref="H8"/>
    </sheetView>
  </sheetViews>
  <sheetFormatPr defaultRowHeight="15"/>
  <cols>
    <col min="5" max="5" width="10.85546875" customWidth="1"/>
  </cols>
  <sheetData>
    <row r="1" spans="2:13" ht="15.75" thickBot="1">
      <c r="B1" s="24" t="s">
        <v>423</v>
      </c>
    </row>
    <row r="2" spans="2:13">
      <c r="B2" s="100" t="s">
        <v>424</v>
      </c>
      <c r="C2" s="324" t="s">
        <v>228</v>
      </c>
      <c r="D2" s="325"/>
      <c r="E2" s="328" t="s">
        <v>425</v>
      </c>
      <c r="F2" s="329"/>
      <c r="G2" s="326" t="s">
        <v>426</v>
      </c>
    </row>
    <row r="3" spans="2:13" ht="15.75" thickBot="1">
      <c r="B3" s="101" t="str">
        <f>"Total: "&amp;SUM(K14:K82)</f>
        <v>Total: 69</v>
      </c>
      <c r="C3" s="97" t="s">
        <v>427</v>
      </c>
      <c r="D3" s="23" t="s">
        <v>428</v>
      </c>
      <c r="E3" s="97" t="s">
        <v>427</v>
      </c>
      <c r="F3" s="23" t="s">
        <v>428</v>
      </c>
      <c r="G3" s="327"/>
    </row>
    <row r="4" spans="2:13">
      <c r="B4" s="102" t="s">
        <v>429</v>
      </c>
      <c r="C4" s="117">
        <f>SUM(L14:L33)</f>
        <v>9</v>
      </c>
      <c r="D4" s="118">
        <f>G4-C4</f>
        <v>11</v>
      </c>
      <c r="E4" s="117">
        <f>SUM(M14:M33)</f>
        <v>11</v>
      </c>
      <c r="F4" s="118">
        <f>G4-E4</f>
        <v>9</v>
      </c>
      <c r="G4" s="119">
        <f>SUM(K14:K33)</f>
        <v>20</v>
      </c>
    </row>
    <row r="5" spans="2:13">
      <c r="B5" s="103" t="s">
        <v>430</v>
      </c>
      <c r="C5" s="3">
        <f>SUM(L34:L49)</f>
        <v>5</v>
      </c>
      <c r="D5" s="22">
        <f>G5-C5</f>
        <v>11</v>
      </c>
      <c r="E5" s="3">
        <f>SUM(M34:M49)</f>
        <v>16</v>
      </c>
      <c r="F5" s="22">
        <f>G5-E5</f>
        <v>0</v>
      </c>
      <c r="G5" s="120">
        <f>SUM(K34:K49)</f>
        <v>16</v>
      </c>
    </row>
    <row r="6" spans="2:13">
      <c r="B6" s="103" t="s">
        <v>431</v>
      </c>
      <c r="C6" s="3">
        <f>SUM(L62:L82)</f>
        <v>12</v>
      </c>
      <c r="D6" s="22">
        <f>G6-C6</f>
        <v>9</v>
      </c>
      <c r="E6" s="3">
        <f>SUM(M62:M82)</f>
        <v>12</v>
      </c>
      <c r="F6" s="22">
        <f>G6-E6</f>
        <v>9</v>
      </c>
      <c r="G6" s="120">
        <f>SUM(K62:K82)</f>
        <v>21</v>
      </c>
    </row>
    <row r="7" spans="2:13" ht="15.75" thickBot="1">
      <c r="B7" s="104" t="s">
        <v>432</v>
      </c>
      <c r="C7" s="97">
        <f>SUM(L50:L61)</f>
        <v>7</v>
      </c>
      <c r="D7" s="23">
        <f>G7-C7</f>
        <v>5</v>
      </c>
      <c r="E7" s="97">
        <f>SUM(M50:M61)</f>
        <v>10</v>
      </c>
      <c r="F7" s="23">
        <f>G7-E7</f>
        <v>2</v>
      </c>
      <c r="G7" s="121">
        <f>SUM(K50:K61)</f>
        <v>12</v>
      </c>
      <c r="H7" t="s">
        <v>433</v>
      </c>
    </row>
    <row r="8" spans="2:13" ht="15.75" thickBot="1"/>
    <row r="9" spans="2:13">
      <c r="B9" s="122" t="s">
        <v>434</v>
      </c>
      <c r="C9" s="123">
        <f>SUM(C4:C7)</f>
        <v>33</v>
      </c>
      <c r="D9" s="123">
        <f>SUM(D4:D7)</f>
        <v>36</v>
      </c>
      <c r="E9" s="123">
        <f>SUM(E4:E7)</f>
        <v>49</v>
      </c>
      <c r="F9" s="123">
        <f>SUM(F4:F7)</f>
        <v>20</v>
      </c>
      <c r="G9" s="123">
        <f>SUM(G4:G7)</f>
        <v>69</v>
      </c>
    </row>
    <row r="10" spans="2:13" ht="15.75" thickBot="1">
      <c r="B10" s="124" t="s">
        <v>435</v>
      </c>
      <c r="C10" s="125">
        <f>C9/$G$9</f>
        <v>0.47826086956521741</v>
      </c>
      <c r="D10" s="125">
        <f>D9/$G$9</f>
        <v>0.52173913043478259</v>
      </c>
      <c r="E10" s="125">
        <f>E9/$G$9</f>
        <v>0.71014492753623193</v>
      </c>
      <c r="F10" s="125">
        <f>F9/$G$9</f>
        <v>0.28985507246376813</v>
      </c>
      <c r="G10" s="126"/>
    </row>
    <row r="12" spans="2:13">
      <c r="F12" s="323" t="s">
        <v>425</v>
      </c>
      <c r="G12" s="323"/>
      <c r="H12" s="323"/>
    </row>
    <row r="13" spans="2:13">
      <c r="B13" s="28" t="s">
        <v>222</v>
      </c>
      <c r="C13" s="28" t="s">
        <v>436</v>
      </c>
      <c r="D13" s="28" t="s">
        <v>228</v>
      </c>
      <c r="E13" s="28" t="s">
        <v>437</v>
      </c>
      <c r="F13" s="28" t="s">
        <v>195</v>
      </c>
      <c r="G13" s="28" t="s">
        <v>175</v>
      </c>
      <c r="H13" s="28" t="s">
        <v>190</v>
      </c>
      <c r="I13" s="99" t="s">
        <v>438</v>
      </c>
      <c r="K13" s="28" t="s">
        <v>439</v>
      </c>
      <c r="L13" s="28" t="s">
        <v>228</v>
      </c>
      <c r="M13" s="28" t="s">
        <v>440</v>
      </c>
    </row>
    <row r="14" spans="2:13">
      <c r="B14" s="105" t="s">
        <v>441</v>
      </c>
      <c r="C14" s="106" t="s">
        <v>190</v>
      </c>
      <c r="D14" s="106" t="s">
        <v>190</v>
      </c>
      <c r="E14" s="51" t="b">
        <f>C14=D14</f>
        <v>1</v>
      </c>
      <c r="F14" s="51"/>
      <c r="G14" s="51"/>
      <c r="H14" s="106" t="s">
        <v>190</v>
      </c>
      <c r="I14" s="51" t="b">
        <f>OR(F14=C14,G14=C14,H14=C14)</f>
        <v>1</v>
      </c>
      <c r="J14" s="51"/>
      <c r="K14" s="51">
        <v>1</v>
      </c>
      <c r="L14" s="51">
        <f>E14*K14</f>
        <v>1</v>
      </c>
      <c r="M14" s="51">
        <f>I14*K14</f>
        <v>1</v>
      </c>
    </row>
    <row r="15" spans="2:13">
      <c r="B15" s="105" t="s">
        <v>442</v>
      </c>
      <c r="C15" s="106" t="s">
        <v>190</v>
      </c>
      <c r="D15" s="106" t="s">
        <v>190</v>
      </c>
      <c r="E15" s="51" t="b">
        <f>C15=D15</f>
        <v>1</v>
      </c>
      <c r="F15" s="51"/>
      <c r="G15" s="51"/>
      <c r="H15" s="106" t="s">
        <v>190</v>
      </c>
      <c r="I15" s="51" t="b">
        <f>OR(F15=C15,G15=C15,H15=C15)</f>
        <v>1</v>
      </c>
      <c r="J15" s="51"/>
      <c r="K15" s="51">
        <v>1</v>
      </c>
      <c r="L15" s="51">
        <f t="shared" ref="L15:L78" si="0">E15*K15</f>
        <v>1</v>
      </c>
      <c r="M15" s="51">
        <f t="shared" ref="M15:M78" si="1">I15*K15</f>
        <v>1</v>
      </c>
    </row>
    <row r="16" spans="2:13">
      <c r="B16" s="105" t="s">
        <v>443</v>
      </c>
      <c r="C16" s="106" t="s">
        <v>195</v>
      </c>
      <c r="D16" s="106" t="s">
        <v>190</v>
      </c>
      <c r="E16" s="51" t="b">
        <f>C16=D16</f>
        <v>0</v>
      </c>
      <c r="F16" s="106" t="s">
        <v>195</v>
      </c>
      <c r="G16" s="106" t="s">
        <v>175</v>
      </c>
      <c r="H16" s="106" t="s">
        <v>190</v>
      </c>
      <c r="I16" s="51" t="b">
        <f>OR(F16=C16,G16=C16,H16=C16)</f>
        <v>1</v>
      </c>
      <c r="J16" s="51"/>
      <c r="K16" s="51">
        <v>1</v>
      </c>
      <c r="L16" s="51">
        <f t="shared" si="0"/>
        <v>0</v>
      </c>
      <c r="M16" s="51">
        <f t="shared" si="1"/>
        <v>1</v>
      </c>
    </row>
    <row r="17" spans="2:13">
      <c r="B17" s="105" t="s">
        <v>444</v>
      </c>
      <c r="C17" s="106" t="s">
        <v>195</v>
      </c>
      <c r="D17" s="106" t="s">
        <v>195</v>
      </c>
      <c r="E17" s="51" t="b">
        <f>C17=D17</f>
        <v>1</v>
      </c>
      <c r="F17" s="106" t="s">
        <v>195</v>
      </c>
      <c r="G17" s="106" t="s">
        <v>175</v>
      </c>
      <c r="H17" s="106" t="s">
        <v>190</v>
      </c>
      <c r="I17" s="51" t="b">
        <f>OR(F17=C17,G17=C17,H17=C17)</f>
        <v>1</v>
      </c>
      <c r="J17" s="51"/>
      <c r="K17" s="51">
        <v>1</v>
      </c>
      <c r="L17" s="51">
        <f t="shared" si="0"/>
        <v>1</v>
      </c>
      <c r="M17" s="51">
        <f t="shared" si="1"/>
        <v>1</v>
      </c>
    </row>
    <row r="18" spans="2:13">
      <c r="B18" s="105" t="s">
        <v>445</v>
      </c>
      <c r="C18" s="106" t="s">
        <v>175</v>
      </c>
      <c r="D18" s="106" t="s">
        <v>190</v>
      </c>
      <c r="E18" s="106" t="b">
        <f>C18=D18</f>
        <v>0</v>
      </c>
      <c r="F18" s="51"/>
      <c r="G18" s="51"/>
      <c r="H18" s="106" t="s">
        <v>190</v>
      </c>
      <c r="I18" s="51" t="b">
        <f t="shared" ref="I18:I81" si="2">OR(F18=C18,G18=C18,H18=C18)</f>
        <v>0</v>
      </c>
      <c r="J18" s="51"/>
      <c r="K18" s="51">
        <v>1</v>
      </c>
      <c r="L18" s="51">
        <f t="shared" si="0"/>
        <v>0</v>
      </c>
      <c r="M18" s="51">
        <f t="shared" si="1"/>
        <v>0</v>
      </c>
    </row>
    <row r="19" spans="2:13">
      <c r="B19" s="105" t="s">
        <v>446</v>
      </c>
      <c r="C19" s="106" t="s">
        <v>175</v>
      </c>
      <c r="D19" s="106" t="s">
        <v>190</v>
      </c>
      <c r="E19" s="106" t="b">
        <f t="shared" ref="E19:E82" si="3">C19=D19</f>
        <v>0</v>
      </c>
      <c r="F19" s="51"/>
      <c r="G19" s="51"/>
      <c r="H19" s="106" t="s">
        <v>190</v>
      </c>
      <c r="I19" s="51" t="b">
        <f t="shared" si="2"/>
        <v>0</v>
      </c>
      <c r="J19" s="51"/>
      <c r="K19" s="51">
        <v>1</v>
      </c>
      <c r="L19" s="51">
        <f t="shared" si="0"/>
        <v>0</v>
      </c>
      <c r="M19" s="51">
        <f t="shared" si="1"/>
        <v>0</v>
      </c>
    </row>
    <row r="20" spans="2:13">
      <c r="B20" s="105" t="s">
        <v>447</v>
      </c>
      <c r="C20" s="106" t="s">
        <v>175</v>
      </c>
      <c r="D20" s="106" t="s">
        <v>190</v>
      </c>
      <c r="E20" s="106" t="b">
        <f t="shared" si="3"/>
        <v>0</v>
      </c>
      <c r="F20" s="51"/>
      <c r="G20" s="51"/>
      <c r="H20" s="106" t="s">
        <v>190</v>
      </c>
      <c r="I20" s="51" t="b">
        <f t="shared" si="2"/>
        <v>0</v>
      </c>
      <c r="J20" s="51"/>
      <c r="K20" s="51">
        <v>1</v>
      </c>
      <c r="L20" s="51">
        <f t="shared" si="0"/>
        <v>0</v>
      </c>
      <c r="M20" s="51">
        <f t="shared" si="1"/>
        <v>0</v>
      </c>
    </row>
    <row r="21" spans="2:13">
      <c r="B21" s="105" t="s">
        <v>448</v>
      </c>
      <c r="C21" s="106" t="s">
        <v>175</v>
      </c>
      <c r="D21" s="106" t="s">
        <v>190</v>
      </c>
      <c r="E21" s="106" t="b">
        <f t="shared" si="3"/>
        <v>0</v>
      </c>
      <c r="F21" s="51"/>
      <c r="G21" s="51"/>
      <c r="H21" s="106" t="s">
        <v>190</v>
      </c>
      <c r="I21" s="51" t="b">
        <f t="shared" si="2"/>
        <v>0</v>
      </c>
      <c r="J21" s="51"/>
      <c r="K21" s="51">
        <v>1</v>
      </c>
      <c r="L21" s="51">
        <f t="shared" si="0"/>
        <v>0</v>
      </c>
      <c r="M21" s="51">
        <f t="shared" si="1"/>
        <v>0</v>
      </c>
    </row>
    <row r="22" spans="2:13">
      <c r="B22" s="105" t="s">
        <v>449</v>
      </c>
      <c r="C22" s="106" t="s">
        <v>175</v>
      </c>
      <c r="D22" s="106" t="s">
        <v>190</v>
      </c>
      <c r="E22" s="106" t="b">
        <f t="shared" si="3"/>
        <v>0</v>
      </c>
      <c r="F22" s="51"/>
      <c r="G22" s="51"/>
      <c r="H22" s="106" t="s">
        <v>190</v>
      </c>
      <c r="I22" s="51" t="b">
        <f t="shared" si="2"/>
        <v>0</v>
      </c>
      <c r="J22" s="51"/>
      <c r="K22" s="51">
        <v>1</v>
      </c>
      <c r="L22" s="51">
        <f t="shared" si="0"/>
        <v>0</v>
      </c>
      <c r="M22" s="51">
        <f t="shared" si="1"/>
        <v>0</v>
      </c>
    </row>
    <row r="23" spans="2:13">
      <c r="B23" s="105" t="s">
        <v>450</v>
      </c>
      <c r="C23" s="106" t="s">
        <v>175</v>
      </c>
      <c r="D23" s="106" t="s">
        <v>190</v>
      </c>
      <c r="E23" s="106" t="b">
        <f t="shared" si="3"/>
        <v>0</v>
      </c>
      <c r="F23" s="51"/>
      <c r="G23" s="51"/>
      <c r="H23" s="106" t="s">
        <v>190</v>
      </c>
      <c r="I23" s="51" t="b">
        <f t="shared" si="2"/>
        <v>0</v>
      </c>
      <c r="J23" s="51"/>
      <c r="K23" s="51">
        <v>1</v>
      </c>
      <c r="L23" s="51">
        <f t="shared" si="0"/>
        <v>0</v>
      </c>
      <c r="M23" s="51">
        <f t="shared" si="1"/>
        <v>0</v>
      </c>
    </row>
    <row r="24" spans="2:13">
      <c r="B24" s="105" t="s">
        <v>451</v>
      </c>
      <c r="C24" s="106" t="s">
        <v>190</v>
      </c>
      <c r="D24" s="106" t="s">
        <v>190</v>
      </c>
      <c r="E24" s="106" t="b">
        <f t="shared" si="3"/>
        <v>1</v>
      </c>
      <c r="F24" s="51"/>
      <c r="G24" s="51"/>
      <c r="H24" s="106" t="s">
        <v>190</v>
      </c>
      <c r="I24" s="51" t="b">
        <f t="shared" si="2"/>
        <v>1</v>
      </c>
      <c r="J24" s="51"/>
      <c r="K24" s="51">
        <v>1</v>
      </c>
      <c r="L24" s="51">
        <f t="shared" si="0"/>
        <v>1</v>
      </c>
      <c r="M24" s="51">
        <f t="shared" si="1"/>
        <v>1</v>
      </c>
    </row>
    <row r="25" spans="2:13">
      <c r="B25" s="105" t="s">
        <v>452</v>
      </c>
      <c r="C25" s="106" t="s">
        <v>190</v>
      </c>
      <c r="D25" s="106" t="s">
        <v>190</v>
      </c>
      <c r="E25" s="106" t="b">
        <f t="shared" si="3"/>
        <v>1</v>
      </c>
      <c r="F25" s="51"/>
      <c r="G25" s="51"/>
      <c r="H25" s="106" t="s">
        <v>190</v>
      </c>
      <c r="I25" s="51" t="b">
        <f t="shared" si="2"/>
        <v>1</v>
      </c>
      <c r="J25" s="51"/>
      <c r="K25" s="51">
        <v>1</v>
      </c>
      <c r="L25" s="51">
        <f t="shared" si="0"/>
        <v>1</v>
      </c>
      <c r="M25" s="51">
        <f t="shared" si="1"/>
        <v>1</v>
      </c>
    </row>
    <row r="26" spans="2:13">
      <c r="B26" s="107" t="s">
        <v>453</v>
      </c>
      <c r="C26" s="106" t="s">
        <v>175</v>
      </c>
      <c r="D26" s="106" t="s">
        <v>190</v>
      </c>
      <c r="E26" s="106" t="b">
        <f t="shared" si="3"/>
        <v>0</v>
      </c>
      <c r="F26" s="51"/>
      <c r="G26" s="51"/>
      <c r="H26" s="106" t="s">
        <v>190</v>
      </c>
      <c r="I26" s="51" t="b">
        <f t="shared" si="2"/>
        <v>0</v>
      </c>
      <c r="J26" s="51"/>
      <c r="K26" s="51">
        <v>1</v>
      </c>
      <c r="L26" s="51">
        <f t="shared" si="0"/>
        <v>0</v>
      </c>
      <c r="M26" s="51">
        <f t="shared" si="1"/>
        <v>0</v>
      </c>
    </row>
    <row r="27" spans="2:13">
      <c r="B27" s="107" t="s">
        <v>454</v>
      </c>
      <c r="C27" s="106" t="s">
        <v>175</v>
      </c>
      <c r="D27" s="106" t="s">
        <v>190</v>
      </c>
      <c r="E27" s="106" t="b">
        <f t="shared" si="3"/>
        <v>0</v>
      </c>
      <c r="F27" s="51"/>
      <c r="G27" s="51"/>
      <c r="H27" s="106" t="s">
        <v>190</v>
      </c>
      <c r="I27" s="51" t="b">
        <f t="shared" si="2"/>
        <v>0</v>
      </c>
      <c r="J27" s="51"/>
      <c r="K27" s="51">
        <v>1</v>
      </c>
      <c r="L27" s="51">
        <f t="shared" si="0"/>
        <v>0</v>
      </c>
      <c r="M27" s="51">
        <f t="shared" si="1"/>
        <v>0</v>
      </c>
    </row>
    <row r="28" spans="2:13">
      <c r="B28" s="107" t="s">
        <v>455</v>
      </c>
      <c r="C28" s="106" t="s">
        <v>190</v>
      </c>
      <c r="D28" s="106" t="s">
        <v>190</v>
      </c>
      <c r="E28" s="106" t="b">
        <f t="shared" si="3"/>
        <v>1</v>
      </c>
      <c r="F28" s="51"/>
      <c r="G28" s="51"/>
      <c r="H28" s="106" t="s">
        <v>190</v>
      </c>
      <c r="I28" s="51" t="b">
        <f t="shared" si="2"/>
        <v>1</v>
      </c>
      <c r="J28" s="51"/>
      <c r="K28" s="51">
        <v>1</v>
      </c>
      <c r="L28" s="51">
        <f t="shared" si="0"/>
        <v>1</v>
      </c>
      <c r="M28" s="51">
        <f t="shared" si="1"/>
        <v>1</v>
      </c>
    </row>
    <row r="29" spans="2:13">
      <c r="B29" s="107" t="s">
        <v>456</v>
      </c>
      <c r="C29" s="106" t="s">
        <v>190</v>
      </c>
      <c r="D29" s="106" t="s">
        <v>190</v>
      </c>
      <c r="E29" s="106" t="b">
        <f t="shared" si="3"/>
        <v>1</v>
      </c>
      <c r="F29" s="51"/>
      <c r="G29" s="106" t="s">
        <v>175</v>
      </c>
      <c r="H29" s="106" t="s">
        <v>190</v>
      </c>
      <c r="I29" s="51" t="b">
        <f t="shared" si="2"/>
        <v>1</v>
      </c>
      <c r="J29" s="51"/>
      <c r="K29" s="51">
        <v>1</v>
      </c>
      <c r="L29" s="51">
        <f t="shared" si="0"/>
        <v>1</v>
      </c>
      <c r="M29" s="51">
        <f t="shared" si="1"/>
        <v>1</v>
      </c>
    </row>
    <row r="30" spans="2:13">
      <c r="B30" s="107" t="s">
        <v>457</v>
      </c>
      <c r="C30" s="106" t="s">
        <v>175</v>
      </c>
      <c r="D30" s="106" t="s">
        <v>190</v>
      </c>
      <c r="E30" s="106" t="b">
        <f t="shared" si="3"/>
        <v>0</v>
      </c>
      <c r="F30" s="51"/>
      <c r="G30" s="51"/>
      <c r="H30" s="106" t="s">
        <v>190</v>
      </c>
      <c r="I30" s="51" t="b">
        <f t="shared" si="2"/>
        <v>0</v>
      </c>
      <c r="J30" s="51"/>
      <c r="K30" s="51">
        <v>1</v>
      </c>
      <c r="L30" s="51">
        <f t="shared" si="0"/>
        <v>0</v>
      </c>
      <c r="M30" s="51">
        <f t="shared" si="1"/>
        <v>0</v>
      </c>
    </row>
    <row r="31" spans="2:13">
      <c r="B31" s="107" t="s">
        <v>458</v>
      </c>
      <c r="C31" s="106" t="s">
        <v>175</v>
      </c>
      <c r="D31" s="106" t="s">
        <v>190</v>
      </c>
      <c r="E31" s="106" t="b">
        <f t="shared" si="3"/>
        <v>0</v>
      </c>
      <c r="F31" s="51"/>
      <c r="G31" s="106" t="s">
        <v>175</v>
      </c>
      <c r="H31" s="106" t="s">
        <v>190</v>
      </c>
      <c r="I31" s="51" t="b">
        <f t="shared" si="2"/>
        <v>1</v>
      </c>
      <c r="J31" s="51"/>
      <c r="K31" s="51">
        <v>1</v>
      </c>
      <c r="L31" s="51">
        <f t="shared" si="0"/>
        <v>0</v>
      </c>
      <c r="M31" s="51">
        <f t="shared" si="1"/>
        <v>1</v>
      </c>
    </row>
    <row r="32" spans="2:13">
      <c r="B32" s="105" t="s">
        <v>459</v>
      </c>
      <c r="C32" s="106" t="s">
        <v>190</v>
      </c>
      <c r="D32" s="106" t="s">
        <v>190</v>
      </c>
      <c r="E32" s="106" t="b">
        <f t="shared" si="3"/>
        <v>1</v>
      </c>
      <c r="F32" s="51"/>
      <c r="G32" s="51"/>
      <c r="H32" s="106" t="s">
        <v>190</v>
      </c>
      <c r="I32" s="51" t="b">
        <f t="shared" si="2"/>
        <v>1</v>
      </c>
      <c r="J32" s="51"/>
      <c r="K32" s="51">
        <v>1</v>
      </c>
      <c r="L32" s="51">
        <f t="shared" si="0"/>
        <v>1</v>
      </c>
      <c r="M32" s="51">
        <f t="shared" si="1"/>
        <v>1</v>
      </c>
    </row>
    <row r="33" spans="2:13">
      <c r="B33" s="105" t="s">
        <v>460</v>
      </c>
      <c r="C33" s="106" t="s">
        <v>190</v>
      </c>
      <c r="D33" s="106" t="s">
        <v>190</v>
      </c>
      <c r="E33" s="106" t="b">
        <f t="shared" si="3"/>
        <v>1</v>
      </c>
      <c r="F33" s="51"/>
      <c r="G33" s="106" t="s">
        <v>175</v>
      </c>
      <c r="H33" s="106" t="s">
        <v>190</v>
      </c>
      <c r="I33" s="51" t="b">
        <f t="shared" si="2"/>
        <v>1</v>
      </c>
      <c r="J33" s="51"/>
      <c r="K33" s="51">
        <v>1</v>
      </c>
      <c r="L33" s="51">
        <f t="shared" si="0"/>
        <v>1</v>
      </c>
      <c r="M33" s="51">
        <f t="shared" si="1"/>
        <v>1</v>
      </c>
    </row>
    <row r="34" spans="2:13">
      <c r="B34" s="108" t="s">
        <v>239</v>
      </c>
      <c r="C34" s="109" t="s">
        <v>195</v>
      </c>
      <c r="D34" s="109" t="s">
        <v>175</v>
      </c>
      <c r="E34" s="109" t="b">
        <f t="shared" si="3"/>
        <v>0</v>
      </c>
      <c r="F34" s="109" t="s">
        <v>195</v>
      </c>
      <c r="G34" s="109" t="s">
        <v>175</v>
      </c>
      <c r="H34" s="109" t="s">
        <v>190</v>
      </c>
      <c r="I34" s="110" t="b">
        <f t="shared" si="2"/>
        <v>1</v>
      </c>
      <c r="J34" s="110"/>
      <c r="K34" s="110">
        <v>1</v>
      </c>
      <c r="L34" s="110">
        <f t="shared" si="0"/>
        <v>0</v>
      </c>
      <c r="M34" s="110">
        <f t="shared" si="1"/>
        <v>1</v>
      </c>
    </row>
    <row r="35" spans="2:13">
      <c r="B35" s="108" t="s">
        <v>244</v>
      </c>
      <c r="C35" s="109" t="s">
        <v>195</v>
      </c>
      <c r="D35" s="109" t="s">
        <v>175</v>
      </c>
      <c r="E35" s="109" t="b">
        <f t="shared" si="3"/>
        <v>0</v>
      </c>
      <c r="F35" s="109" t="s">
        <v>195</v>
      </c>
      <c r="G35" s="109" t="s">
        <v>175</v>
      </c>
      <c r="H35" s="109" t="s">
        <v>190</v>
      </c>
      <c r="I35" s="110" t="b">
        <f t="shared" si="2"/>
        <v>1</v>
      </c>
      <c r="J35" s="110"/>
      <c r="K35" s="110">
        <v>1</v>
      </c>
      <c r="L35" s="110">
        <f t="shared" si="0"/>
        <v>0</v>
      </c>
      <c r="M35" s="110">
        <f t="shared" si="1"/>
        <v>1</v>
      </c>
    </row>
    <row r="36" spans="2:13">
      <c r="B36" s="108" t="s">
        <v>248</v>
      </c>
      <c r="C36" s="109" t="s">
        <v>175</v>
      </c>
      <c r="D36" s="109" t="s">
        <v>175</v>
      </c>
      <c r="E36" s="109" t="b">
        <f t="shared" si="3"/>
        <v>1</v>
      </c>
      <c r="F36" s="110"/>
      <c r="G36" s="109" t="s">
        <v>175</v>
      </c>
      <c r="H36" s="109" t="s">
        <v>190</v>
      </c>
      <c r="I36" s="110" t="b">
        <f t="shared" si="2"/>
        <v>1</v>
      </c>
      <c r="J36" s="110"/>
      <c r="K36" s="110">
        <v>1</v>
      </c>
      <c r="L36" s="110">
        <f t="shared" si="0"/>
        <v>1</v>
      </c>
      <c r="M36" s="110">
        <f t="shared" si="1"/>
        <v>1</v>
      </c>
    </row>
    <row r="37" spans="2:13">
      <c r="B37" s="108" t="s">
        <v>252</v>
      </c>
      <c r="C37" s="109" t="s">
        <v>175</v>
      </c>
      <c r="D37" s="109" t="s">
        <v>190</v>
      </c>
      <c r="E37" s="109" t="b">
        <f t="shared" si="3"/>
        <v>0</v>
      </c>
      <c r="F37" s="110"/>
      <c r="G37" s="109" t="s">
        <v>175</v>
      </c>
      <c r="H37" s="109" t="s">
        <v>190</v>
      </c>
      <c r="I37" s="110" t="b">
        <f t="shared" si="2"/>
        <v>1</v>
      </c>
      <c r="J37" s="110"/>
      <c r="K37" s="110">
        <v>1</v>
      </c>
      <c r="L37" s="110">
        <f t="shared" si="0"/>
        <v>0</v>
      </c>
      <c r="M37" s="110">
        <f t="shared" si="1"/>
        <v>1</v>
      </c>
    </row>
    <row r="38" spans="2:13">
      <c r="B38" s="108" t="s">
        <v>256</v>
      </c>
      <c r="C38" s="109" t="s">
        <v>175</v>
      </c>
      <c r="D38" s="109" t="s">
        <v>190</v>
      </c>
      <c r="E38" s="109" t="b">
        <f t="shared" si="3"/>
        <v>0</v>
      </c>
      <c r="F38" s="110"/>
      <c r="G38" s="109" t="s">
        <v>175</v>
      </c>
      <c r="H38" s="109" t="s">
        <v>190</v>
      </c>
      <c r="I38" s="110" t="b">
        <f t="shared" si="2"/>
        <v>1</v>
      </c>
      <c r="J38" s="110"/>
      <c r="K38" s="110">
        <v>1</v>
      </c>
      <c r="L38" s="110">
        <f t="shared" si="0"/>
        <v>0</v>
      </c>
      <c r="M38" s="110">
        <f t="shared" si="1"/>
        <v>1</v>
      </c>
    </row>
    <row r="39" spans="2:13">
      <c r="B39" s="108" t="s">
        <v>260</v>
      </c>
      <c r="C39" s="109" t="s">
        <v>195</v>
      </c>
      <c r="D39" s="109" t="s">
        <v>175</v>
      </c>
      <c r="E39" s="109" t="b">
        <f t="shared" si="3"/>
        <v>0</v>
      </c>
      <c r="F39" s="109" t="s">
        <v>195</v>
      </c>
      <c r="G39" s="109" t="s">
        <v>175</v>
      </c>
      <c r="H39" s="109" t="s">
        <v>190</v>
      </c>
      <c r="I39" s="110" t="b">
        <f t="shared" si="2"/>
        <v>1</v>
      </c>
      <c r="J39" s="110"/>
      <c r="K39" s="110">
        <v>1</v>
      </c>
      <c r="L39" s="110">
        <f t="shared" si="0"/>
        <v>0</v>
      </c>
      <c r="M39" s="110">
        <f t="shared" si="1"/>
        <v>1</v>
      </c>
    </row>
    <row r="40" spans="2:13">
      <c r="B40" s="108" t="s">
        <v>263</v>
      </c>
      <c r="C40" s="109" t="s">
        <v>195</v>
      </c>
      <c r="D40" s="109" t="s">
        <v>175</v>
      </c>
      <c r="E40" s="109" t="b">
        <f t="shared" si="3"/>
        <v>0</v>
      </c>
      <c r="F40" s="109" t="s">
        <v>195</v>
      </c>
      <c r="G40" s="109" t="s">
        <v>175</v>
      </c>
      <c r="H40" s="109" t="s">
        <v>190</v>
      </c>
      <c r="I40" s="110" t="b">
        <f t="shared" si="2"/>
        <v>1</v>
      </c>
      <c r="J40" s="110"/>
      <c r="K40" s="110">
        <v>1</v>
      </c>
      <c r="L40" s="110">
        <f t="shared" si="0"/>
        <v>0</v>
      </c>
      <c r="M40" s="110">
        <f t="shared" si="1"/>
        <v>1</v>
      </c>
    </row>
    <row r="41" spans="2:13">
      <c r="B41" s="108" t="s">
        <v>266</v>
      </c>
      <c r="C41" s="109" t="s">
        <v>175</v>
      </c>
      <c r="D41" s="109" t="s">
        <v>175</v>
      </c>
      <c r="E41" s="109" t="b">
        <f t="shared" si="3"/>
        <v>1</v>
      </c>
      <c r="F41" s="110"/>
      <c r="G41" s="109" t="s">
        <v>175</v>
      </c>
      <c r="H41" s="109" t="s">
        <v>190</v>
      </c>
      <c r="I41" s="110" t="b">
        <f t="shared" si="2"/>
        <v>1</v>
      </c>
      <c r="J41" s="110"/>
      <c r="K41" s="110">
        <v>1</v>
      </c>
      <c r="L41" s="110">
        <f t="shared" si="0"/>
        <v>1</v>
      </c>
      <c r="M41" s="110">
        <f t="shared" si="1"/>
        <v>1</v>
      </c>
    </row>
    <row r="42" spans="2:13">
      <c r="B42" s="108" t="s">
        <v>269</v>
      </c>
      <c r="C42" s="109" t="s">
        <v>175</v>
      </c>
      <c r="D42" s="109" t="s">
        <v>190</v>
      </c>
      <c r="E42" s="109" t="b">
        <f t="shared" si="3"/>
        <v>0</v>
      </c>
      <c r="F42" s="110"/>
      <c r="G42" s="109" t="s">
        <v>175</v>
      </c>
      <c r="H42" s="109" t="s">
        <v>190</v>
      </c>
      <c r="I42" s="110" t="b">
        <f t="shared" si="2"/>
        <v>1</v>
      </c>
      <c r="J42" s="110"/>
      <c r="K42" s="110">
        <v>1</v>
      </c>
      <c r="L42" s="110">
        <f t="shared" si="0"/>
        <v>0</v>
      </c>
      <c r="M42" s="110">
        <f t="shared" si="1"/>
        <v>1</v>
      </c>
    </row>
    <row r="43" spans="2:13">
      <c r="B43" s="108" t="s">
        <v>272</v>
      </c>
      <c r="C43" s="109" t="s">
        <v>175</v>
      </c>
      <c r="D43" s="109" t="s">
        <v>190</v>
      </c>
      <c r="E43" s="109" t="b">
        <f t="shared" si="3"/>
        <v>0</v>
      </c>
      <c r="F43" s="110"/>
      <c r="G43" s="109" t="s">
        <v>175</v>
      </c>
      <c r="H43" s="109" t="s">
        <v>190</v>
      </c>
      <c r="I43" s="110" t="b">
        <f t="shared" si="2"/>
        <v>1</v>
      </c>
      <c r="J43" s="110"/>
      <c r="K43" s="110">
        <v>1</v>
      </c>
      <c r="L43" s="110">
        <f t="shared" si="0"/>
        <v>0</v>
      </c>
      <c r="M43" s="110">
        <f t="shared" si="1"/>
        <v>1</v>
      </c>
    </row>
    <row r="44" spans="2:13">
      <c r="B44" s="108" t="s">
        <v>275</v>
      </c>
      <c r="C44" s="109" t="s">
        <v>195</v>
      </c>
      <c r="D44" s="109" t="s">
        <v>175</v>
      </c>
      <c r="E44" s="109" t="b">
        <f t="shared" si="3"/>
        <v>0</v>
      </c>
      <c r="F44" s="109" t="s">
        <v>195</v>
      </c>
      <c r="G44" s="109" t="s">
        <v>175</v>
      </c>
      <c r="H44" s="109" t="s">
        <v>190</v>
      </c>
      <c r="I44" s="110" t="b">
        <f t="shared" si="2"/>
        <v>1</v>
      </c>
      <c r="J44" s="110"/>
      <c r="K44" s="110">
        <v>1</v>
      </c>
      <c r="L44" s="110">
        <f t="shared" si="0"/>
        <v>0</v>
      </c>
      <c r="M44" s="110">
        <f t="shared" si="1"/>
        <v>1</v>
      </c>
    </row>
    <row r="45" spans="2:13">
      <c r="B45" s="108" t="s">
        <v>278</v>
      </c>
      <c r="C45" s="109" t="s">
        <v>195</v>
      </c>
      <c r="D45" s="109" t="s">
        <v>175</v>
      </c>
      <c r="E45" s="109" t="b">
        <f t="shared" si="3"/>
        <v>0</v>
      </c>
      <c r="F45" s="109" t="s">
        <v>195</v>
      </c>
      <c r="G45" s="109" t="s">
        <v>175</v>
      </c>
      <c r="H45" s="109" t="s">
        <v>190</v>
      </c>
      <c r="I45" s="110" t="b">
        <f t="shared" si="2"/>
        <v>1</v>
      </c>
      <c r="J45" s="110"/>
      <c r="K45" s="110">
        <v>1</v>
      </c>
      <c r="L45" s="110">
        <f t="shared" si="0"/>
        <v>0</v>
      </c>
      <c r="M45" s="110">
        <f t="shared" si="1"/>
        <v>1</v>
      </c>
    </row>
    <row r="46" spans="2:13">
      <c r="B46" s="108" t="s">
        <v>281</v>
      </c>
      <c r="C46" s="109" t="s">
        <v>195</v>
      </c>
      <c r="D46" s="109" t="s">
        <v>175</v>
      </c>
      <c r="E46" s="109" t="b">
        <f t="shared" si="3"/>
        <v>0</v>
      </c>
      <c r="F46" s="109" t="s">
        <v>195</v>
      </c>
      <c r="G46" s="109" t="s">
        <v>175</v>
      </c>
      <c r="H46" s="109" t="s">
        <v>190</v>
      </c>
      <c r="I46" s="110" t="b">
        <f t="shared" si="2"/>
        <v>1</v>
      </c>
      <c r="J46" s="110"/>
      <c r="K46" s="110">
        <v>1</v>
      </c>
      <c r="L46" s="110">
        <f t="shared" si="0"/>
        <v>0</v>
      </c>
      <c r="M46" s="110">
        <f t="shared" si="1"/>
        <v>1</v>
      </c>
    </row>
    <row r="47" spans="2:13">
      <c r="B47" s="108" t="s">
        <v>284</v>
      </c>
      <c r="C47" s="109" t="s">
        <v>175</v>
      </c>
      <c r="D47" s="109" t="s">
        <v>175</v>
      </c>
      <c r="E47" s="109" t="b">
        <f t="shared" si="3"/>
        <v>1</v>
      </c>
      <c r="F47" s="109" t="s">
        <v>195</v>
      </c>
      <c r="G47" s="109" t="s">
        <v>175</v>
      </c>
      <c r="H47" s="109" t="s">
        <v>190</v>
      </c>
      <c r="I47" s="110" t="b">
        <f t="shared" si="2"/>
        <v>1</v>
      </c>
      <c r="J47" s="110"/>
      <c r="K47" s="110">
        <v>1</v>
      </c>
      <c r="L47" s="110">
        <f t="shared" si="0"/>
        <v>1</v>
      </c>
      <c r="M47" s="110">
        <f t="shared" si="1"/>
        <v>1</v>
      </c>
    </row>
    <row r="48" spans="2:13">
      <c r="B48" s="108" t="s">
        <v>287</v>
      </c>
      <c r="C48" s="109" t="s">
        <v>175</v>
      </c>
      <c r="D48" s="109" t="s">
        <v>175</v>
      </c>
      <c r="E48" s="109" t="b">
        <f t="shared" si="3"/>
        <v>1</v>
      </c>
      <c r="F48" s="109" t="s">
        <v>195</v>
      </c>
      <c r="G48" s="109" t="s">
        <v>175</v>
      </c>
      <c r="H48" s="109" t="s">
        <v>190</v>
      </c>
      <c r="I48" s="110" t="b">
        <f t="shared" si="2"/>
        <v>1</v>
      </c>
      <c r="J48" s="110"/>
      <c r="K48" s="110">
        <v>1</v>
      </c>
      <c r="L48" s="110">
        <f t="shared" si="0"/>
        <v>1</v>
      </c>
      <c r="M48" s="110">
        <f t="shared" si="1"/>
        <v>1</v>
      </c>
    </row>
    <row r="49" spans="2:13">
      <c r="B49" s="108" t="s">
        <v>290</v>
      </c>
      <c r="C49" s="109" t="s">
        <v>175</v>
      </c>
      <c r="D49" s="109" t="s">
        <v>175</v>
      </c>
      <c r="E49" s="109" t="b">
        <f t="shared" si="3"/>
        <v>1</v>
      </c>
      <c r="F49" s="109" t="s">
        <v>195</v>
      </c>
      <c r="G49" s="109" t="s">
        <v>175</v>
      </c>
      <c r="H49" s="109" t="s">
        <v>190</v>
      </c>
      <c r="I49" s="110" t="b">
        <f t="shared" si="2"/>
        <v>1</v>
      </c>
      <c r="J49" s="110"/>
      <c r="K49" s="110">
        <v>1</v>
      </c>
      <c r="L49" s="110">
        <f t="shared" si="0"/>
        <v>1</v>
      </c>
      <c r="M49" s="110">
        <f t="shared" si="1"/>
        <v>1</v>
      </c>
    </row>
    <row r="50" spans="2:13">
      <c r="B50" s="111" t="s">
        <v>293</v>
      </c>
      <c r="C50" s="112" t="s">
        <v>175</v>
      </c>
      <c r="D50" s="112" t="s">
        <v>175</v>
      </c>
      <c r="E50" s="112" t="b">
        <f t="shared" si="3"/>
        <v>1</v>
      </c>
      <c r="F50" s="113"/>
      <c r="G50" s="112" t="s">
        <v>175</v>
      </c>
      <c r="H50" s="112" t="s">
        <v>190</v>
      </c>
      <c r="I50" s="113" t="b">
        <f t="shared" si="2"/>
        <v>1</v>
      </c>
      <c r="J50" s="113"/>
      <c r="K50" s="113">
        <v>1</v>
      </c>
      <c r="L50" s="113">
        <f t="shared" si="0"/>
        <v>1</v>
      </c>
      <c r="M50" s="113">
        <f t="shared" si="1"/>
        <v>1</v>
      </c>
    </row>
    <row r="51" spans="2:13">
      <c r="B51" s="111" t="s">
        <v>297</v>
      </c>
      <c r="C51" s="112" t="s">
        <v>175</v>
      </c>
      <c r="D51" s="112" t="s">
        <v>175</v>
      </c>
      <c r="E51" s="112" t="b">
        <f t="shared" si="3"/>
        <v>1</v>
      </c>
      <c r="F51" s="112" t="s">
        <v>195</v>
      </c>
      <c r="G51" s="112" t="s">
        <v>175</v>
      </c>
      <c r="H51" s="112" t="s">
        <v>190</v>
      </c>
      <c r="I51" s="113" t="b">
        <f t="shared" si="2"/>
        <v>1</v>
      </c>
      <c r="J51" s="113"/>
      <c r="K51" s="113">
        <v>1</v>
      </c>
      <c r="L51" s="113">
        <f t="shared" si="0"/>
        <v>1</v>
      </c>
      <c r="M51" s="113">
        <f t="shared" si="1"/>
        <v>1</v>
      </c>
    </row>
    <row r="52" spans="2:13">
      <c r="B52" s="111" t="s">
        <v>300</v>
      </c>
      <c r="C52" s="112" t="s">
        <v>195</v>
      </c>
      <c r="D52" s="112" t="s">
        <v>195</v>
      </c>
      <c r="E52" s="112" t="b">
        <f t="shared" si="3"/>
        <v>1</v>
      </c>
      <c r="F52" s="112" t="s">
        <v>195</v>
      </c>
      <c r="G52" s="112" t="s">
        <v>175</v>
      </c>
      <c r="H52" s="113"/>
      <c r="I52" s="113" t="b">
        <f t="shared" si="2"/>
        <v>1</v>
      </c>
      <c r="J52" s="113"/>
      <c r="K52" s="113">
        <v>1</v>
      </c>
      <c r="L52" s="113">
        <f t="shared" si="0"/>
        <v>1</v>
      </c>
      <c r="M52" s="113">
        <f t="shared" si="1"/>
        <v>1</v>
      </c>
    </row>
    <row r="53" spans="2:13">
      <c r="B53" s="111" t="s">
        <v>303</v>
      </c>
      <c r="C53" s="112" t="s">
        <v>195</v>
      </c>
      <c r="D53" s="112" t="s">
        <v>195</v>
      </c>
      <c r="E53" s="112" t="b">
        <f t="shared" si="3"/>
        <v>1</v>
      </c>
      <c r="F53" s="112" t="s">
        <v>195</v>
      </c>
      <c r="G53" s="112" t="s">
        <v>175</v>
      </c>
      <c r="H53" s="112" t="s">
        <v>190</v>
      </c>
      <c r="I53" s="113" t="b">
        <f t="shared" si="2"/>
        <v>1</v>
      </c>
      <c r="J53" s="113"/>
      <c r="K53" s="113">
        <v>1</v>
      </c>
      <c r="L53" s="113">
        <f t="shared" si="0"/>
        <v>1</v>
      </c>
      <c r="M53" s="113">
        <f t="shared" si="1"/>
        <v>1</v>
      </c>
    </row>
    <row r="54" spans="2:13">
      <c r="B54" s="111" t="s">
        <v>305</v>
      </c>
      <c r="C54" s="112" t="s">
        <v>175</v>
      </c>
      <c r="D54" s="112" t="s">
        <v>175</v>
      </c>
      <c r="E54" s="112" t="b">
        <f t="shared" si="3"/>
        <v>1</v>
      </c>
      <c r="F54" s="112" t="s">
        <v>195</v>
      </c>
      <c r="G54" s="112" t="s">
        <v>175</v>
      </c>
      <c r="H54" s="112" t="s">
        <v>190</v>
      </c>
      <c r="I54" s="113" t="b">
        <f t="shared" si="2"/>
        <v>1</v>
      </c>
      <c r="J54" s="113"/>
      <c r="K54" s="113">
        <v>1</v>
      </c>
      <c r="L54" s="113">
        <f t="shared" si="0"/>
        <v>1</v>
      </c>
      <c r="M54" s="113">
        <f t="shared" si="1"/>
        <v>1</v>
      </c>
    </row>
    <row r="55" spans="2:13">
      <c r="B55" s="111" t="s">
        <v>309</v>
      </c>
      <c r="C55" s="112" t="s">
        <v>175</v>
      </c>
      <c r="D55" s="112" t="s">
        <v>175</v>
      </c>
      <c r="E55" s="112" t="b">
        <f t="shared" si="3"/>
        <v>1</v>
      </c>
      <c r="F55" s="113"/>
      <c r="G55" s="112" t="s">
        <v>175</v>
      </c>
      <c r="H55" s="113"/>
      <c r="I55" s="113" t="b">
        <f t="shared" si="2"/>
        <v>1</v>
      </c>
      <c r="J55" s="113"/>
      <c r="K55" s="113">
        <v>1</v>
      </c>
      <c r="L55" s="113">
        <f t="shared" si="0"/>
        <v>1</v>
      </c>
      <c r="M55" s="113">
        <f t="shared" si="1"/>
        <v>1</v>
      </c>
    </row>
    <row r="56" spans="2:13">
      <c r="B56" s="111" t="s">
        <v>311</v>
      </c>
      <c r="C56" s="112" t="s">
        <v>175</v>
      </c>
      <c r="D56" s="112" t="s">
        <v>195</v>
      </c>
      <c r="E56" s="112" t="b">
        <f t="shared" si="3"/>
        <v>0</v>
      </c>
      <c r="F56" s="112" t="s">
        <v>195</v>
      </c>
      <c r="G56" s="112" t="s">
        <v>175</v>
      </c>
      <c r="H56" s="112" t="s">
        <v>190</v>
      </c>
      <c r="I56" s="113" t="b">
        <f t="shared" si="2"/>
        <v>1</v>
      </c>
      <c r="J56" s="113"/>
      <c r="K56" s="113">
        <v>1</v>
      </c>
      <c r="L56" s="113">
        <f t="shared" si="0"/>
        <v>0</v>
      </c>
      <c r="M56" s="113">
        <f t="shared" si="1"/>
        <v>1</v>
      </c>
    </row>
    <row r="57" spans="2:13">
      <c r="B57" s="111" t="s">
        <v>313</v>
      </c>
      <c r="C57" s="112" t="s">
        <v>175</v>
      </c>
      <c r="D57" s="112" t="s">
        <v>195</v>
      </c>
      <c r="E57" s="112" t="b">
        <f t="shared" si="3"/>
        <v>0</v>
      </c>
      <c r="F57" s="112" t="s">
        <v>195</v>
      </c>
      <c r="G57" s="112" t="s">
        <v>175</v>
      </c>
      <c r="H57" s="113"/>
      <c r="I57" s="113" t="b">
        <f t="shared" si="2"/>
        <v>1</v>
      </c>
      <c r="J57" s="113"/>
      <c r="K57" s="113">
        <v>1</v>
      </c>
      <c r="L57" s="113">
        <f t="shared" si="0"/>
        <v>0</v>
      </c>
      <c r="M57" s="113">
        <f t="shared" si="1"/>
        <v>1</v>
      </c>
    </row>
    <row r="58" spans="2:13">
      <c r="B58" s="111" t="s">
        <v>316</v>
      </c>
      <c r="C58" s="112" t="s">
        <v>175</v>
      </c>
      <c r="D58" s="112" t="s">
        <v>195</v>
      </c>
      <c r="E58" s="112" t="b">
        <f t="shared" si="3"/>
        <v>0</v>
      </c>
      <c r="F58" s="112" t="s">
        <v>195</v>
      </c>
      <c r="G58" s="112" t="s">
        <v>175</v>
      </c>
      <c r="H58" s="113"/>
      <c r="I58" s="113" t="b">
        <f t="shared" si="2"/>
        <v>1</v>
      </c>
      <c r="J58" s="113"/>
      <c r="K58" s="113">
        <v>1</v>
      </c>
      <c r="L58" s="113">
        <f t="shared" si="0"/>
        <v>0</v>
      </c>
      <c r="M58" s="113">
        <f t="shared" si="1"/>
        <v>1</v>
      </c>
    </row>
    <row r="59" spans="2:13">
      <c r="B59" s="111" t="s">
        <v>319</v>
      </c>
      <c r="C59" s="112" t="s">
        <v>175</v>
      </c>
      <c r="D59" s="112" t="s">
        <v>175</v>
      </c>
      <c r="E59" s="112" t="b">
        <f t="shared" si="3"/>
        <v>1</v>
      </c>
      <c r="F59" s="112" t="s">
        <v>195</v>
      </c>
      <c r="G59" s="112" t="s">
        <v>175</v>
      </c>
      <c r="H59" s="113"/>
      <c r="I59" s="113" t="b">
        <f t="shared" si="2"/>
        <v>1</v>
      </c>
      <c r="J59" s="113"/>
      <c r="K59" s="113">
        <v>1</v>
      </c>
      <c r="L59" s="113">
        <f t="shared" si="0"/>
        <v>1</v>
      </c>
      <c r="M59" s="113">
        <f t="shared" si="1"/>
        <v>1</v>
      </c>
    </row>
    <row r="60" spans="2:13">
      <c r="B60" s="111" t="s">
        <v>321</v>
      </c>
      <c r="C60" s="112" t="s">
        <v>175</v>
      </c>
      <c r="D60" s="112" t="s">
        <v>190</v>
      </c>
      <c r="E60" s="112" t="b">
        <f t="shared" si="3"/>
        <v>0</v>
      </c>
      <c r="F60" s="113"/>
      <c r="G60" s="113"/>
      <c r="H60" s="113" t="s">
        <v>190</v>
      </c>
      <c r="I60" s="113" t="b">
        <f t="shared" si="2"/>
        <v>0</v>
      </c>
      <c r="J60" s="113"/>
      <c r="K60" s="113">
        <v>1</v>
      </c>
      <c r="L60" s="113">
        <f t="shared" si="0"/>
        <v>0</v>
      </c>
      <c r="M60" s="113">
        <f t="shared" si="1"/>
        <v>0</v>
      </c>
    </row>
    <row r="61" spans="2:13">
      <c r="B61" s="111" t="s">
        <v>325</v>
      </c>
      <c r="C61" s="112" t="s">
        <v>175</v>
      </c>
      <c r="D61" s="112" t="s">
        <v>190</v>
      </c>
      <c r="E61" s="112" t="b">
        <f t="shared" si="3"/>
        <v>0</v>
      </c>
      <c r="F61" s="113"/>
      <c r="G61" s="113"/>
      <c r="H61" s="113" t="s">
        <v>190</v>
      </c>
      <c r="I61" s="113" t="b">
        <f t="shared" si="2"/>
        <v>0</v>
      </c>
      <c r="J61" s="113"/>
      <c r="K61" s="113">
        <v>1</v>
      </c>
      <c r="L61" s="113">
        <f t="shared" si="0"/>
        <v>0</v>
      </c>
      <c r="M61" s="113">
        <f t="shared" si="1"/>
        <v>0</v>
      </c>
    </row>
    <row r="62" spans="2:13">
      <c r="B62" s="114" t="s">
        <v>357</v>
      </c>
      <c r="C62" s="115" t="s">
        <v>190</v>
      </c>
      <c r="D62" s="115" t="s">
        <v>190</v>
      </c>
      <c r="E62" s="115" t="b">
        <f t="shared" si="3"/>
        <v>1</v>
      </c>
      <c r="F62" s="116"/>
      <c r="G62" s="116"/>
      <c r="H62" s="116" t="s">
        <v>190</v>
      </c>
      <c r="I62" s="116" t="b">
        <f t="shared" si="2"/>
        <v>1</v>
      </c>
      <c r="J62" s="116"/>
      <c r="K62" s="116">
        <v>1</v>
      </c>
      <c r="L62" s="116">
        <f t="shared" si="0"/>
        <v>1</v>
      </c>
      <c r="M62" s="116">
        <f t="shared" si="1"/>
        <v>1</v>
      </c>
    </row>
    <row r="63" spans="2:13">
      <c r="B63" s="114" t="s">
        <v>363</v>
      </c>
      <c r="C63" s="115" t="s">
        <v>190</v>
      </c>
      <c r="D63" s="115" t="s">
        <v>190</v>
      </c>
      <c r="E63" s="115" t="b">
        <f t="shared" si="3"/>
        <v>1</v>
      </c>
      <c r="F63" s="116"/>
      <c r="G63" s="116"/>
      <c r="H63" s="116" t="s">
        <v>190</v>
      </c>
      <c r="I63" s="116" t="b">
        <f t="shared" si="2"/>
        <v>1</v>
      </c>
      <c r="J63" s="116"/>
      <c r="K63" s="116">
        <v>1</v>
      </c>
      <c r="L63" s="116">
        <f t="shared" si="0"/>
        <v>1</v>
      </c>
      <c r="M63" s="116">
        <f t="shared" si="1"/>
        <v>1</v>
      </c>
    </row>
    <row r="64" spans="2:13">
      <c r="B64" s="114" t="s">
        <v>369</v>
      </c>
      <c r="C64" s="115" t="s">
        <v>190</v>
      </c>
      <c r="D64" s="115" t="s">
        <v>190</v>
      </c>
      <c r="E64" s="115" t="b">
        <f t="shared" si="3"/>
        <v>1</v>
      </c>
      <c r="F64" s="116"/>
      <c r="G64" s="116"/>
      <c r="H64" s="116" t="s">
        <v>190</v>
      </c>
      <c r="I64" s="116" t="b">
        <f t="shared" si="2"/>
        <v>1</v>
      </c>
      <c r="J64" s="116"/>
      <c r="K64" s="116">
        <v>1</v>
      </c>
      <c r="L64" s="116">
        <f t="shared" si="0"/>
        <v>1</v>
      </c>
      <c r="M64" s="116">
        <f t="shared" si="1"/>
        <v>1</v>
      </c>
    </row>
    <row r="65" spans="2:13">
      <c r="B65" s="114" t="s">
        <v>374</v>
      </c>
      <c r="C65" s="115" t="s">
        <v>190</v>
      </c>
      <c r="D65" s="115" t="s">
        <v>190</v>
      </c>
      <c r="E65" s="115" t="b">
        <f t="shared" si="3"/>
        <v>1</v>
      </c>
      <c r="F65" s="116"/>
      <c r="G65" s="116"/>
      <c r="H65" s="116" t="s">
        <v>190</v>
      </c>
      <c r="I65" s="116" t="b">
        <f t="shared" si="2"/>
        <v>1</v>
      </c>
      <c r="J65" s="116"/>
      <c r="K65" s="116">
        <v>1</v>
      </c>
      <c r="L65" s="116">
        <f t="shared" si="0"/>
        <v>1</v>
      </c>
      <c r="M65" s="116">
        <f t="shared" si="1"/>
        <v>1</v>
      </c>
    </row>
    <row r="66" spans="2:13">
      <c r="B66" s="114" t="s">
        <v>379</v>
      </c>
      <c r="C66" s="115" t="s">
        <v>190</v>
      </c>
      <c r="D66" s="115" t="s">
        <v>190</v>
      </c>
      <c r="E66" s="115" t="b">
        <f t="shared" si="3"/>
        <v>1</v>
      </c>
      <c r="F66" s="116"/>
      <c r="G66" s="116"/>
      <c r="H66" s="116" t="s">
        <v>190</v>
      </c>
      <c r="I66" s="116" t="b">
        <f t="shared" si="2"/>
        <v>1</v>
      </c>
      <c r="J66" s="116"/>
      <c r="K66" s="116">
        <v>1</v>
      </c>
      <c r="L66" s="116">
        <f t="shared" si="0"/>
        <v>1</v>
      </c>
      <c r="M66" s="116">
        <f t="shared" si="1"/>
        <v>1</v>
      </c>
    </row>
    <row r="67" spans="2:13">
      <c r="B67" s="114" t="s">
        <v>383</v>
      </c>
      <c r="C67" s="115" t="s">
        <v>190</v>
      </c>
      <c r="D67" s="115" t="s">
        <v>190</v>
      </c>
      <c r="E67" s="115" t="b">
        <f t="shared" si="3"/>
        <v>1</v>
      </c>
      <c r="F67" s="116"/>
      <c r="G67" s="116"/>
      <c r="H67" s="116" t="s">
        <v>190</v>
      </c>
      <c r="I67" s="116" t="b">
        <f t="shared" si="2"/>
        <v>1</v>
      </c>
      <c r="J67" s="116"/>
      <c r="K67" s="116">
        <v>1</v>
      </c>
      <c r="L67" s="116">
        <f t="shared" si="0"/>
        <v>1</v>
      </c>
      <c r="M67" s="116">
        <f t="shared" si="1"/>
        <v>1</v>
      </c>
    </row>
    <row r="68" spans="2:13">
      <c r="B68" s="114" t="s">
        <v>386</v>
      </c>
      <c r="C68" s="115" t="s">
        <v>190</v>
      </c>
      <c r="D68" s="115" t="s">
        <v>190</v>
      </c>
      <c r="E68" s="115" t="b">
        <f t="shared" si="3"/>
        <v>1</v>
      </c>
      <c r="F68" s="116"/>
      <c r="G68" s="116"/>
      <c r="H68" s="116" t="s">
        <v>190</v>
      </c>
      <c r="I68" s="116" t="b">
        <f t="shared" si="2"/>
        <v>1</v>
      </c>
      <c r="J68" s="116"/>
      <c r="K68" s="116">
        <v>1</v>
      </c>
      <c r="L68" s="116">
        <f t="shared" si="0"/>
        <v>1</v>
      </c>
      <c r="M68" s="116">
        <f t="shared" si="1"/>
        <v>1</v>
      </c>
    </row>
    <row r="69" spans="2:13">
      <c r="B69" s="114" t="s">
        <v>391</v>
      </c>
      <c r="C69" s="115" t="s">
        <v>190</v>
      </c>
      <c r="D69" s="115" t="s">
        <v>190</v>
      </c>
      <c r="E69" s="115" t="b">
        <f t="shared" si="3"/>
        <v>1</v>
      </c>
      <c r="F69" s="116"/>
      <c r="G69" s="116"/>
      <c r="H69" s="116" t="s">
        <v>190</v>
      </c>
      <c r="I69" s="116" t="b">
        <f t="shared" si="2"/>
        <v>1</v>
      </c>
      <c r="J69" s="116"/>
      <c r="K69" s="116">
        <v>1</v>
      </c>
      <c r="L69" s="116">
        <f t="shared" si="0"/>
        <v>1</v>
      </c>
      <c r="M69" s="116">
        <f t="shared" si="1"/>
        <v>1</v>
      </c>
    </row>
    <row r="70" spans="2:13">
      <c r="B70" s="114" t="s">
        <v>393</v>
      </c>
      <c r="C70" s="115" t="s">
        <v>175</v>
      </c>
      <c r="D70" s="115" t="s">
        <v>190</v>
      </c>
      <c r="E70" s="115" t="b">
        <f t="shared" si="3"/>
        <v>0</v>
      </c>
      <c r="F70" s="116"/>
      <c r="G70" s="116"/>
      <c r="H70" s="116" t="s">
        <v>190</v>
      </c>
      <c r="I70" s="116" t="b">
        <f t="shared" si="2"/>
        <v>0</v>
      </c>
      <c r="J70" s="116"/>
      <c r="K70" s="116">
        <v>1</v>
      </c>
      <c r="L70" s="116">
        <f t="shared" si="0"/>
        <v>0</v>
      </c>
      <c r="M70" s="116">
        <f t="shared" si="1"/>
        <v>0</v>
      </c>
    </row>
    <row r="71" spans="2:13">
      <c r="B71" s="114" t="s">
        <v>396</v>
      </c>
      <c r="C71" s="115" t="s">
        <v>175</v>
      </c>
      <c r="D71" s="115" t="s">
        <v>190</v>
      </c>
      <c r="E71" s="115" t="b">
        <f t="shared" si="3"/>
        <v>0</v>
      </c>
      <c r="F71" s="116"/>
      <c r="G71" s="116"/>
      <c r="H71" s="116" t="s">
        <v>190</v>
      </c>
      <c r="I71" s="116" t="b">
        <f t="shared" si="2"/>
        <v>0</v>
      </c>
      <c r="J71" s="116"/>
      <c r="K71" s="116">
        <v>1</v>
      </c>
      <c r="L71" s="116">
        <f t="shared" si="0"/>
        <v>0</v>
      </c>
      <c r="M71" s="116">
        <f t="shared" si="1"/>
        <v>0</v>
      </c>
    </row>
    <row r="72" spans="2:13">
      <c r="B72" s="114" t="s">
        <v>398</v>
      </c>
      <c r="C72" s="115" t="s">
        <v>175</v>
      </c>
      <c r="D72" s="115" t="s">
        <v>190</v>
      </c>
      <c r="E72" s="115" t="b">
        <f t="shared" si="3"/>
        <v>0</v>
      </c>
      <c r="F72" s="116"/>
      <c r="G72" s="116"/>
      <c r="H72" s="116" t="s">
        <v>190</v>
      </c>
      <c r="I72" s="116" t="b">
        <f t="shared" si="2"/>
        <v>0</v>
      </c>
      <c r="J72" s="116"/>
      <c r="K72" s="116">
        <v>1</v>
      </c>
      <c r="L72" s="116">
        <f t="shared" si="0"/>
        <v>0</v>
      </c>
      <c r="M72" s="116">
        <f t="shared" si="1"/>
        <v>0</v>
      </c>
    </row>
    <row r="73" spans="2:13">
      <c r="B73" s="114" t="s">
        <v>400</v>
      </c>
      <c r="C73" s="115" t="s">
        <v>190</v>
      </c>
      <c r="D73" s="115" t="s">
        <v>190</v>
      </c>
      <c r="E73" s="115" t="b">
        <f t="shared" si="3"/>
        <v>1</v>
      </c>
      <c r="F73" s="116"/>
      <c r="G73" s="116"/>
      <c r="H73" s="116" t="s">
        <v>190</v>
      </c>
      <c r="I73" s="116" t="b">
        <f t="shared" si="2"/>
        <v>1</v>
      </c>
      <c r="J73" s="116"/>
      <c r="K73" s="116">
        <v>1</v>
      </c>
      <c r="L73" s="116">
        <f t="shared" si="0"/>
        <v>1</v>
      </c>
      <c r="M73" s="116">
        <f t="shared" si="1"/>
        <v>1</v>
      </c>
    </row>
    <row r="74" spans="2:13">
      <c r="B74" s="114" t="s">
        <v>403</v>
      </c>
      <c r="C74" s="115" t="s">
        <v>190</v>
      </c>
      <c r="D74" s="115" t="s">
        <v>190</v>
      </c>
      <c r="E74" s="115" t="b">
        <f t="shared" si="3"/>
        <v>1</v>
      </c>
      <c r="F74" s="116"/>
      <c r="G74" s="116"/>
      <c r="H74" s="116" t="s">
        <v>190</v>
      </c>
      <c r="I74" s="116" t="b">
        <f t="shared" si="2"/>
        <v>1</v>
      </c>
      <c r="J74" s="116"/>
      <c r="K74" s="116">
        <v>1</v>
      </c>
      <c r="L74" s="116">
        <f t="shared" si="0"/>
        <v>1</v>
      </c>
      <c r="M74" s="116">
        <f t="shared" si="1"/>
        <v>1</v>
      </c>
    </row>
    <row r="75" spans="2:13">
      <c r="B75" s="114" t="s">
        <v>405</v>
      </c>
      <c r="C75" s="115" t="s">
        <v>190</v>
      </c>
      <c r="D75" s="115" t="s">
        <v>190</v>
      </c>
      <c r="E75" s="115" t="b">
        <f t="shared" si="3"/>
        <v>1</v>
      </c>
      <c r="F75" s="116"/>
      <c r="G75" s="116"/>
      <c r="H75" s="116" t="s">
        <v>190</v>
      </c>
      <c r="I75" s="116" t="b">
        <f t="shared" si="2"/>
        <v>1</v>
      </c>
      <c r="J75" s="116"/>
      <c r="K75" s="116">
        <v>1</v>
      </c>
      <c r="L75" s="116">
        <f t="shared" si="0"/>
        <v>1</v>
      </c>
      <c r="M75" s="116">
        <f t="shared" si="1"/>
        <v>1</v>
      </c>
    </row>
    <row r="76" spans="2:13">
      <c r="B76" s="114" t="s">
        <v>407</v>
      </c>
      <c r="C76" s="115" t="s">
        <v>190</v>
      </c>
      <c r="D76" s="115" t="s">
        <v>190</v>
      </c>
      <c r="E76" s="115" t="b">
        <f t="shared" si="3"/>
        <v>1</v>
      </c>
      <c r="F76" s="116"/>
      <c r="G76" s="116"/>
      <c r="H76" s="116" t="s">
        <v>190</v>
      </c>
      <c r="I76" s="116" t="b">
        <f t="shared" si="2"/>
        <v>1</v>
      </c>
      <c r="J76" s="116"/>
      <c r="K76" s="116">
        <v>1</v>
      </c>
      <c r="L76" s="116">
        <f t="shared" si="0"/>
        <v>1</v>
      </c>
      <c r="M76" s="116">
        <f t="shared" si="1"/>
        <v>1</v>
      </c>
    </row>
    <row r="77" spans="2:13">
      <c r="B77" s="114" t="s">
        <v>409</v>
      </c>
      <c r="C77" s="115" t="s">
        <v>175</v>
      </c>
      <c r="D77" s="115" t="s">
        <v>190</v>
      </c>
      <c r="E77" s="115" t="b">
        <f t="shared" si="3"/>
        <v>0</v>
      </c>
      <c r="F77" s="116"/>
      <c r="G77" s="116"/>
      <c r="H77" s="116" t="s">
        <v>190</v>
      </c>
      <c r="I77" s="116" t="b">
        <f t="shared" si="2"/>
        <v>0</v>
      </c>
      <c r="J77" s="116"/>
      <c r="K77" s="116">
        <v>1</v>
      </c>
      <c r="L77" s="116">
        <f t="shared" si="0"/>
        <v>0</v>
      </c>
      <c r="M77" s="116">
        <f t="shared" si="1"/>
        <v>0</v>
      </c>
    </row>
    <row r="78" spans="2:13">
      <c r="B78" s="114" t="s">
        <v>412</v>
      </c>
      <c r="C78" s="115" t="s">
        <v>175</v>
      </c>
      <c r="D78" s="115" t="s">
        <v>190</v>
      </c>
      <c r="E78" s="115" t="b">
        <f t="shared" si="3"/>
        <v>0</v>
      </c>
      <c r="F78" s="116"/>
      <c r="G78" s="116"/>
      <c r="H78" s="116" t="s">
        <v>190</v>
      </c>
      <c r="I78" s="116" t="b">
        <f t="shared" si="2"/>
        <v>0</v>
      </c>
      <c r="J78" s="116"/>
      <c r="K78" s="116">
        <v>1</v>
      </c>
      <c r="L78" s="116">
        <f t="shared" si="0"/>
        <v>0</v>
      </c>
      <c r="M78" s="116">
        <f t="shared" si="1"/>
        <v>0</v>
      </c>
    </row>
    <row r="79" spans="2:13">
      <c r="B79" s="114" t="s">
        <v>414</v>
      </c>
      <c r="C79" s="115" t="s">
        <v>175</v>
      </c>
      <c r="D79" s="115" t="s">
        <v>190</v>
      </c>
      <c r="E79" s="115" t="b">
        <f t="shared" si="3"/>
        <v>0</v>
      </c>
      <c r="F79" s="116"/>
      <c r="G79" s="116"/>
      <c r="H79" s="116" t="s">
        <v>190</v>
      </c>
      <c r="I79" s="116" t="b">
        <f t="shared" si="2"/>
        <v>0</v>
      </c>
      <c r="J79" s="116"/>
      <c r="K79" s="116">
        <v>1</v>
      </c>
      <c r="L79" s="116">
        <f t="shared" ref="L79:L82" si="4">E79*K79</f>
        <v>0</v>
      </c>
      <c r="M79" s="116">
        <f t="shared" ref="M79:M82" si="5">I79*K79</f>
        <v>0</v>
      </c>
    </row>
    <row r="80" spans="2:13">
      <c r="B80" s="114" t="s">
        <v>416</v>
      </c>
      <c r="C80" s="115" t="s">
        <v>175</v>
      </c>
      <c r="D80" s="115" t="s">
        <v>190</v>
      </c>
      <c r="E80" s="115" t="b">
        <f t="shared" si="3"/>
        <v>0</v>
      </c>
      <c r="F80" s="116"/>
      <c r="G80" s="116"/>
      <c r="H80" s="116" t="s">
        <v>190</v>
      </c>
      <c r="I80" s="116" t="b">
        <f t="shared" si="2"/>
        <v>0</v>
      </c>
      <c r="J80" s="116"/>
      <c r="K80" s="116">
        <v>1</v>
      </c>
      <c r="L80" s="116">
        <f t="shared" si="4"/>
        <v>0</v>
      </c>
      <c r="M80" s="116">
        <f t="shared" si="5"/>
        <v>0</v>
      </c>
    </row>
    <row r="81" spans="2:13">
      <c r="B81" s="114" t="s">
        <v>418</v>
      </c>
      <c r="C81" s="115" t="s">
        <v>175</v>
      </c>
      <c r="D81" s="115" t="s">
        <v>190</v>
      </c>
      <c r="E81" s="115" t="b">
        <f t="shared" si="3"/>
        <v>0</v>
      </c>
      <c r="F81" s="116"/>
      <c r="G81" s="116"/>
      <c r="H81" s="116" t="s">
        <v>190</v>
      </c>
      <c r="I81" s="116" t="b">
        <f t="shared" si="2"/>
        <v>0</v>
      </c>
      <c r="J81" s="116"/>
      <c r="K81" s="116">
        <v>1</v>
      </c>
      <c r="L81" s="116">
        <f t="shared" si="4"/>
        <v>0</v>
      </c>
      <c r="M81" s="116">
        <f t="shared" si="5"/>
        <v>0</v>
      </c>
    </row>
    <row r="82" spans="2:13">
      <c r="B82" s="114" t="s">
        <v>420</v>
      </c>
      <c r="C82" s="115" t="s">
        <v>175</v>
      </c>
      <c r="D82" s="115" t="s">
        <v>190</v>
      </c>
      <c r="E82" s="115" t="b">
        <f t="shared" si="3"/>
        <v>0</v>
      </c>
      <c r="F82" s="116"/>
      <c r="G82" s="116"/>
      <c r="H82" s="116" t="s">
        <v>190</v>
      </c>
      <c r="I82" s="116" t="b">
        <f t="shared" ref="I82" si="6">OR(F82=C82,G82=C82,H82=C82)</f>
        <v>0</v>
      </c>
      <c r="J82" s="116"/>
      <c r="K82" s="116">
        <v>1</v>
      </c>
      <c r="L82" s="116">
        <f t="shared" si="4"/>
        <v>0</v>
      </c>
      <c r="M82" s="116">
        <f t="shared" si="5"/>
        <v>0</v>
      </c>
    </row>
  </sheetData>
  <sheetProtection algorithmName="SHA-512" hashValue="G8WJKpbVB9IkLbIYfbopmNrl0WQ+XGhH/xh8u4yNvMDg2SQu0h4wnNpbHZN6Y73qyfZmteP4pQGWL4FwABL4EA==" saltValue="F8mE3iv5i3DNmbJFvLUgrA==" spinCount="100000" sheet="1" objects="1" scenarios="1"/>
  <mergeCells count="4">
    <mergeCell ref="F12:H12"/>
    <mergeCell ref="C2:D2"/>
    <mergeCell ref="G2:G3"/>
    <mergeCell ref="E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55CCA-36D0-450A-ACC6-D54B665CEDD9}">
  <dimension ref="A1:Q92"/>
  <sheetViews>
    <sheetView workbookViewId="0">
      <selection activeCell="I57" sqref="I57"/>
    </sheetView>
  </sheetViews>
  <sheetFormatPr defaultRowHeight="15"/>
  <cols>
    <col min="1" max="1" width="36.7109375" customWidth="1"/>
  </cols>
  <sheetData>
    <row r="1" spans="1:17">
      <c r="A1" t="s">
        <v>461</v>
      </c>
      <c r="G1" t="s">
        <v>462</v>
      </c>
    </row>
    <row r="2" spans="1:17">
      <c r="A2" s="332" t="s">
        <v>463</v>
      </c>
      <c r="B2" s="332"/>
      <c r="C2" s="332"/>
      <c r="D2" s="332"/>
      <c r="E2" s="332"/>
      <c r="G2" s="52" t="s">
        <v>464</v>
      </c>
    </row>
    <row r="3" spans="1:17">
      <c r="A3" s="332"/>
      <c r="B3" s="332"/>
      <c r="C3" s="332"/>
      <c r="D3" s="332"/>
      <c r="E3" s="332"/>
      <c r="G3" s="52" t="s">
        <v>465</v>
      </c>
    </row>
    <row r="4" spans="1:17">
      <c r="A4" s="332"/>
      <c r="B4" s="332"/>
      <c r="C4" s="332"/>
      <c r="D4" s="332"/>
      <c r="E4" s="332"/>
      <c r="G4" s="52" t="s">
        <v>466</v>
      </c>
      <c r="N4" s="48" t="s">
        <v>467</v>
      </c>
    </row>
    <row r="5" spans="1:17">
      <c r="A5" s="332"/>
      <c r="B5" s="332"/>
      <c r="C5" s="332"/>
      <c r="D5" s="332"/>
      <c r="E5" s="332"/>
      <c r="G5" s="330" t="s">
        <v>468</v>
      </c>
      <c r="H5" s="330"/>
      <c r="I5" s="330"/>
      <c r="J5" s="330"/>
      <c r="K5" s="330"/>
      <c r="L5" s="330"/>
      <c r="M5" s="330"/>
      <c r="N5" s="330"/>
      <c r="O5" s="330"/>
      <c r="P5" s="330"/>
      <c r="Q5" s="330"/>
    </row>
    <row r="6" spans="1:17" s="27" customFormat="1" ht="72" customHeight="1">
      <c r="A6" s="27" t="s">
        <v>469</v>
      </c>
      <c r="G6" s="330"/>
      <c r="H6" s="330"/>
      <c r="I6" s="330"/>
      <c r="J6" s="330"/>
      <c r="K6" s="330"/>
      <c r="L6" s="330"/>
      <c r="M6" s="330"/>
      <c r="N6" s="330"/>
      <c r="O6" s="330"/>
      <c r="P6" s="330"/>
      <c r="Q6" s="330"/>
    </row>
    <row r="7" spans="1:17">
      <c r="A7" t="s">
        <v>470</v>
      </c>
      <c r="G7" s="52"/>
    </row>
    <row r="8" spans="1:17">
      <c r="A8" t="s">
        <v>471</v>
      </c>
      <c r="G8" s="177" t="s">
        <v>472</v>
      </c>
    </row>
    <row r="9" spans="1:17">
      <c r="G9" s="52"/>
    </row>
    <row r="10" spans="1:17" ht="14.25" customHeight="1">
      <c r="A10" s="53"/>
      <c r="G10" s="52"/>
    </row>
    <row r="11" spans="1:17" ht="14.25" customHeight="1">
      <c r="G11" s="52"/>
    </row>
    <row r="13" spans="1:17" ht="14.25" customHeight="1">
      <c r="G13" s="52" t="s">
        <v>473</v>
      </c>
      <c r="H13" s="48" t="s">
        <v>474</v>
      </c>
    </row>
    <row r="14" spans="1:17" ht="69.75" customHeight="1">
      <c r="G14" s="331" t="s">
        <v>475</v>
      </c>
      <c r="H14" s="331"/>
      <c r="I14" s="331"/>
      <c r="J14" s="331"/>
      <c r="K14" s="331"/>
      <c r="L14" s="331"/>
      <c r="M14" s="331"/>
      <c r="N14" s="331"/>
      <c r="O14" s="331"/>
      <c r="P14" s="331"/>
      <c r="Q14" s="331"/>
    </row>
    <row r="15" spans="1:17" ht="14.25" customHeight="1">
      <c r="G15" s="53"/>
      <c r="H15" s="53"/>
      <c r="I15" s="53"/>
      <c r="J15" s="53"/>
      <c r="K15" s="53"/>
      <c r="L15" s="53"/>
    </row>
    <row r="21" spans="2:10">
      <c r="B21" t="s">
        <v>476</v>
      </c>
      <c r="J21" t="s">
        <v>477</v>
      </c>
    </row>
    <row r="23" spans="2:10">
      <c r="B23" s="333" t="s">
        <v>176</v>
      </c>
      <c r="C23" s="334" t="s">
        <v>177</v>
      </c>
      <c r="D23" s="335" t="s">
        <v>178</v>
      </c>
      <c r="E23" s="335"/>
      <c r="F23" s="335"/>
      <c r="G23" s="335"/>
      <c r="H23" s="335"/>
      <c r="I23" s="335"/>
    </row>
    <row r="24" spans="2:10">
      <c r="B24" s="333"/>
      <c r="C24" s="334"/>
      <c r="D24" s="182"/>
      <c r="E24" s="179"/>
      <c r="F24" s="179"/>
      <c r="G24" s="179"/>
      <c r="H24" s="179"/>
      <c r="I24" s="179"/>
    </row>
    <row r="25" spans="2:10">
      <c r="B25" s="333"/>
      <c r="C25" s="334"/>
      <c r="D25" s="179"/>
      <c r="E25" s="179"/>
      <c r="F25" s="179"/>
      <c r="G25" s="180" t="s">
        <v>180</v>
      </c>
      <c r="H25" s="179"/>
      <c r="I25" s="179"/>
    </row>
    <row r="26" spans="2:10">
      <c r="B26" s="333"/>
      <c r="C26" s="334"/>
      <c r="D26" s="179" t="s">
        <v>181</v>
      </c>
      <c r="E26" s="180" t="s">
        <v>182</v>
      </c>
      <c r="F26" s="179" t="s">
        <v>183</v>
      </c>
      <c r="G26" s="180" t="s">
        <v>151</v>
      </c>
      <c r="H26" s="180" t="s">
        <v>133</v>
      </c>
      <c r="I26" s="179" t="s">
        <v>184</v>
      </c>
    </row>
    <row r="27" spans="2:10">
      <c r="B27" s="180" t="s">
        <v>187</v>
      </c>
      <c r="C27" s="180">
        <f>100/1000</f>
        <v>0.1</v>
      </c>
      <c r="D27" s="180">
        <v>0.38</v>
      </c>
      <c r="E27" s="181">
        <v>1.65</v>
      </c>
      <c r="F27" s="179">
        <v>0.15</v>
      </c>
      <c r="G27" s="179">
        <f t="shared" ref="G27:G36" si="0">5/1000</f>
        <v>5.0000000000000001E-3</v>
      </c>
      <c r="H27" s="179">
        <f t="shared" ref="H27:H36" si="1">15/1000</f>
        <v>1.4999999999999999E-2</v>
      </c>
      <c r="I27" s="179">
        <v>2.17</v>
      </c>
    </row>
    <row r="28" spans="2:10">
      <c r="B28" s="180" t="s">
        <v>192</v>
      </c>
      <c r="C28" s="180">
        <f>10/1000</f>
        <v>0.01</v>
      </c>
      <c r="D28" s="180">
        <v>0.38</v>
      </c>
      <c r="E28" s="181">
        <v>1.65</v>
      </c>
      <c r="F28" s="179">
        <v>0.15</v>
      </c>
      <c r="G28" s="179">
        <f t="shared" si="0"/>
        <v>5.0000000000000001E-3</v>
      </c>
      <c r="H28" s="179">
        <f t="shared" si="1"/>
        <v>1.4999999999999999E-2</v>
      </c>
      <c r="I28" s="179">
        <v>2.17</v>
      </c>
    </row>
    <row r="29" spans="2:10">
      <c r="B29" s="180" t="s">
        <v>196</v>
      </c>
      <c r="C29" s="180">
        <f>50/1000</f>
        <v>0.05</v>
      </c>
      <c r="D29" s="180">
        <v>0.38</v>
      </c>
      <c r="E29" s="181">
        <v>1.65</v>
      </c>
      <c r="F29" s="179">
        <v>0.15</v>
      </c>
      <c r="G29" s="179">
        <f t="shared" si="0"/>
        <v>5.0000000000000001E-3</v>
      </c>
      <c r="H29" s="179">
        <f t="shared" si="1"/>
        <v>1.4999999999999999E-2</v>
      </c>
      <c r="I29" s="179">
        <v>2.17</v>
      </c>
    </row>
    <row r="30" spans="2:10">
      <c r="B30" s="180" t="s">
        <v>199</v>
      </c>
      <c r="C30" s="180">
        <f>50/1000</f>
        <v>0.05</v>
      </c>
      <c r="D30" s="180">
        <v>0.38</v>
      </c>
      <c r="E30" s="181">
        <v>1.65</v>
      </c>
      <c r="F30" s="179">
        <v>0.15</v>
      </c>
      <c r="G30" s="179">
        <f t="shared" si="0"/>
        <v>5.0000000000000001E-3</v>
      </c>
      <c r="H30" s="179">
        <f t="shared" si="1"/>
        <v>1.4999999999999999E-2</v>
      </c>
      <c r="I30" s="179">
        <v>2.17</v>
      </c>
    </row>
    <row r="31" spans="2:10">
      <c r="B31" s="180" t="s">
        <v>202</v>
      </c>
      <c r="C31" s="180">
        <f>50/1000</f>
        <v>0.05</v>
      </c>
      <c r="D31" s="180">
        <v>0.38</v>
      </c>
      <c r="E31" s="181">
        <v>1.65</v>
      </c>
      <c r="F31" s="179">
        <v>0.15</v>
      </c>
      <c r="G31" s="179">
        <f t="shared" si="0"/>
        <v>5.0000000000000001E-3</v>
      </c>
      <c r="H31" s="179">
        <f t="shared" si="1"/>
        <v>1.4999999999999999E-2</v>
      </c>
      <c r="I31" s="179">
        <v>2.17</v>
      </c>
    </row>
    <row r="32" spans="2:10">
      <c r="B32" s="180" t="s">
        <v>205</v>
      </c>
      <c r="C32" s="180">
        <f>75/1000</f>
        <v>7.4999999999999997E-2</v>
      </c>
      <c r="D32" s="180">
        <v>0.38</v>
      </c>
      <c r="E32" s="181">
        <v>1.65</v>
      </c>
      <c r="F32" s="179">
        <v>0.15</v>
      </c>
      <c r="G32" s="179">
        <f t="shared" si="0"/>
        <v>5.0000000000000001E-3</v>
      </c>
      <c r="H32" s="179">
        <f t="shared" si="1"/>
        <v>1.4999999999999999E-2</v>
      </c>
      <c r="I32" s="179">
        <v>2.17</v>
      </c>
    </row>
    <row r="33" spans="2:9">
      <c r="B33" s="180" t="s">
        <v>208</v>
      </c>
      <c r="C33" s="179">
        <f>38/1000</f>
        <v>3.7999999999999999E-2</v>
      </c>
      <c r="D33" s="180">
        <v>0.436</v>
      </c>
      <c r="E33" s="181">
        <v>1.65</v>
      </c>
      <c r="F33" s="179">
        <v>0.15</v>
      </c>
      <c r="G33" s="179">
        <f t="shared" si="0"/>
        <v>5.0000000000000001E-3</v>
      </c>
      <c r="H33" s="179">
        <f t="shared" si="1"/>
        <v>1.4999999999999999E-2</v>
      </c>
      <c r="I33" s="179">
        <v>2.17</v>
      </c>
    </row>
    <row r="34" spans="2:9">
      <c r="B34" s="180" t="s">
        <v>212</v>
      </c>
      <c r="C34" s="179">
        <f>38/1000</f>
        <v>3.7999999999999999E-2</v>
      </c>
      <c r="D34" s="180">
        <v>0.436</v>
      </c>
      <c r="E34" s="181">
        <v>1.65</v>
      </c>
      <c r="F34" s="179">
        <v>0.15</v>
      </c>
      <c r="G34" s="179">
        <f t="shared" si="0"/>
        <v>5.0000000000000001E-3</v>
      </c>
      <c r="H34" s="179">
        <f t="shared" si="1"/>
        <v>1.4999999999999999E-2</v>
      </c>
      <c r="I34" s="179">
        <v>2.17</v>
      </c>
    </row>
    <row r="35" spans="2:9">
      <c r="B35" s="180" t="s">
        <v>215</v>
      </c>
      <c r="C35" s="179">
        <f>50/1000</f>
        <v>0.05</v>
      </c>
      <c r="D35" s="180">
        <v>0.41599999999999998</v>
      </c>
      <c r="E35" s="181">
        <v>1.65</v>
      </c>
      <c r="F35" s="179">
        <v>0.15</v>
      </c>
      <c r="G35" s="179">
        <f t="shared" si="0"/>
        <v>5.0000000000000001E-3</v>
      </c>
      <c r="H35" s="179">
        <f t="shared" si="1"/>
        <v>1.4999999999999999E-2</v>
      </c>
      <c r="I35" s="179">
        <v>2.17</v>
      </c>
    </row>
    <row r="36" spans="2:9">
      <c r="B36" s="180" t="s">
        <v>218</v>
      </c>
      <c r="C36" s="179">
        <f>50/1000</f>
        <v>0.05</v>
      </c>
      <c r="D36" s="180">
        <v>0.41599999999999998</v>
      </c>
      <c r="E36" s="181">
        <v>1.65</v>
      </c>
      <c r="F36" s="179">
        <v>0.15</v>
      </c>
      <c r="G36" s="179">
        <f t="shared" si="0"/>
        <v>5.0000000000000001E-3</v>
      </c>
      <c r="H36" s="179">
        <f t="shared" si="1"/>
        <v>1.4999999999999999E-2</v>
      </c>
      <c r="I36" s="179">
        <v>2.17</v>
      </c>
    </row>
    <row r="37" spans="2:9">
      <c r="B37" s="333" t="s">
        <v>176</v>
      </c>
      <c r="C37" s="334" t="s">
        <v>177</v>
      </c>
      <c r="D37" s="335" t="s">
        <v>178</v>
      </c>
      <c r="E37" s="335"/>
      <c r="F37" s="335"/>
      <c r="G37" s="335"/>
      <c r="H37" s="335"/>
      <c r="I37" s="335"/>
    </row>
    <row r="38" spans="2:9">
      <c r="B38" s="333"/>
      <c r="C38" s="334"/>
      <c r="D38" s="182"/>
      <c r="E38" s="179"/>
      <c r="F38" s="179"/>
      <c r="G38" s="179"/>
      <c r="H38" s="179"/>
      <c r="I38" s="179"/>
    </row>
    <row r="39" spans="2:9">
      <c r="B39" s="333"/>
      <c r="C39" s="334"/>
      <c r="D39" s="179"/>
      <c r="E39" s="179"/>
      <c r="F39" s="179"/>
      <c r="G39" s="179"/>
      <c r="H39" s="179"/>
      <c r="I39" s="179"/>
    </row>
    <row r="40" spans="2:9">
      <c r="B40" s="333"/>
      <c r="C40" s="334"/>
      <c r="D40" s="179" t="s">
        <v>181</v>
      </c>
      <c r="E40" s="180" t="s">
        <v>182</v>
      </c>
      <c r="F40" s="179" t="s">
        <v>183</v>
      </c>
      <c r="G40" s="333" t="s">
        <v>180</v>
      </c>
      <c r="H40" s="333"/>
      <c r="I40" s="179" t="s">
        <v>184</v>
      </c>
    </row>
    <row r="41" spans="2:9">
      <c r="B41" s="180" t="s">
        <v>239</v>
      </c>
      <c r="C41" s="180">
        <f>15/1000</f>
        <v>1.4999999999999999E-2</v>
      </c>
      <c r="D41" s="180">
        <v>0.5</v>
      </c>
      <c r="E41" s="181">
        <v>2.71</v>
      </c>
      <c r="F41" s="179">
        <v>0.54</v>
      </c>
      <c r="G41" s="336">
        <f>4/1000</f>
        <v>4.0000000000000001E-3</v>
      </c>
      <c r="H41" s="336"/>
      <c r="I41" s="179">
        <v>2.09</v>
      </c>
    </row>
    <row r="42" spans="2:9">
      <c r="B42" s="180" t="s">
        <v>244</v>
      </c>
      <c r="C42" s="180">
        <f>15/1000</f>
        <v>1.4999999999999999E-2</v>
      </c>
      <c r="D42" s="180">
        <v>0.5</v>
      </c>
      <c r="E42" s="181">
        <v>2.35</v>
      </c>
      <c r="F42" s="179">
        <v>0.54</v>
      </c>
      <c r="G42" s="336">
        <f t="shared" ref="G42:G56" si="2">4/1000</f>
        <v>4.0000000000000001E-3</v>
      </c>
      <c r="H42" s="336"/>
      <c r="I42" s="179">
        <v>2.09</v>
      </c>
    </row>
    <row r="43" spans="2:9">
      <c r="B43" s="180" t="s">
        <v>248</v>
      </c>
      <c r="C43" s="180">
        <f>50/1000</f>
        <v>0.05</v>
      </c>
      <c r="D43" s="180">
        <v>0.5</v>
      </c>
      <c r="E43" s="181">
        <v>12.17</v>
      </c>
      <c r="F43" s="179">
        <v>0.54</v>
      </c>
      <c r="G43" s="336">
        <f t="shared" si="2"/>
        <v>4.0000000000000001E-3</v>
      </c>
      <c r="H43" s="336"/>
      <c r="I43" s="179">
        <v>2.09</v>
      </c>
    </row>
    <row r="44" spans="2:9">
      <c r="B44" s="180" t="s">
        <v>252</v>
      </c>
      <c r="C44" s="180">
        <f>50/1000</f>
        <v>0.05</v>
      </c>
      <c r="D44" s="180">
        <v>0.5</v>
      </c>
      <c r="E44" s="181">
        <v>7.47</v>
      </c>
      <c r="F44" s="179">
        <v>0.54</v>
      </c>
      <c r="G44" s="336">
        <f t="shared" si="2"/>
        <v>4.0000000000000001E-3</v>
      </c>
      <c r="H44" s="336"/>
      <c r="I44" s="179">
        <v>2.09</v>
      </c>
    </row>
    <row r="45" spans="2:9">
      <c r="B45" s="180" t="s">
        <v>256</v>
      </c>
      <c r="C45" s="180">
        <f>50/1000</f>
        <v>0.05</v>
      </c>
      <c r="D45" s="180">
        <v>0.5</v>
      </c>
      <c r="E45" s="181">
        <v>5.98</v>
      </c>
      <c r="F45" s="179">
        <v>0.54</v>
      </c>
      <c r="G45" s="336">
        <f t="shared" si="2"/>
        <v>4.0000000000000001E-3</v>
      </c>
      <c r="H45" s="336"/>
      <c r="I45" s="179">
        <v>2.09</v>
      </c>
    </row>
    <row r="46" spans="2:9">
      <c r="B46" s="180" t="s">
        <v>260</v>
      </c>
      <c r="C46" s="180">
        <f>15/1000</f>
        <v>1.4999999999999999E-2</v>
      </c>
      <c r="D46" s="180">
        <v>0.51200000000000001</v>
      </c>
      <c r="E46" s="181">
        <v>2.82</v>
      </c>
      <c r="F46" s="179">
        <v>0.54</v>
      </c>
      <c r="G46" s="336">
        <f>4/1000</f>
        <v>4.0000000000000001E-3</v>
      </c>
      <c r="H46" s="336"/>
      <c r="I46" s="179">
        <v>2.09</v>
      </c>
    </row>
    <row r="47" spans="2:9">
      <c r="B47" s="180" t="s">
        <v>263</v>
      </c>
      <c r="C47" s="180">
        <f>15/1000</f>
        <v>1.4999999999999999E-2</v>
      </c>
      <c r="D47" s="180">
        <v>0.52400000000000002</v>
      </c>
      <c r="E47" s="181">
        <v>2.5499999999999998</v>
      </c>
      <c r="F47" s="179">
        <v>0.54</v>
      </c>
      <c r="G47" s="336">
        <f t="shared" si="2"/>
        <v>4.0000000000000001E-3</v>
      </c>
      <c r="H47" s="336"/>
      <c r="I47" s="179">
        <v>2.09</v>
      </c>
    </row>
    <row r="48" spans="2:9">
      <c r="B48" s="180" t="s">
        <v>266</v>
      </c>
      <c r="C48" s="180">
        <f>50/1000</f>
        <v>0.05</v>
      </c>
      <c r="D48" s="180">
        <v>0.53300000000000003</v>
      </c>
      <c r="E48" s="181">
        <v>11.76</v>
      </c>
      <c r="F48" s="179">
        <v>0.54</v>
      </c>
      <c r="G48" s="336">
        <f t="shared" si="2"/>
        <v>4.0000000000000001E-3</v>
      </c>
      <c r="H48" s="336"/>
      <c r="I48" s="179">
        <v>2.09</v>
      </c>
    </row>
    <row r="49" spans="2:9">
      <c r="B49" s="180" t="s">
        <v>269</v>
      </c>
      <c r="C49" s="180">
        <f>50/1000</f>
        <v>0.05</v>
      </c>
      <c r="D49" s="180">
        <v>0.53300000000000003</v>
      </c>
      <c r="E49" s="181">
        <v>7.36</v>
      </c>
      <c r="F49" s="179">
        <v>0.54</v>
      </c>
      <c r="G49" s="336">
        <f t="shared" si="2"/>
        <v>4.0000000000000001E-3</v>
      </c>
      <c r="H49" s="336"/>
      <c r="I49" s="179">
        <v>2.09</v>
      </c>
    </row>
    <row r="50" spans="2:9">
      <c r="B50" s="180" t="s">
        <v>272</v>
      </c>
      <c r="C50" s="180">
        <f>50/1000</f>
        <v>0.05</v>
      </c>
      <c r="D50" s="180">
        <v>0.53400000000000003</v>
      </c>
      <c r="E50" s="181">
        <v>5.98</v>
      </c>
      <c r="F50" s="179">
        <v>0.54</v>
      </c>
      <c r="G50" s="336">
        <f t="shared" si="2"/>
        <v>4.0000000000000001E-3</v>
      </c>
      <c r="H50" s="336"/>
      <c r="I50" s="179">
        <v>2.09</v>
      </c>
    </row>
    <row r="51" spans="2:9">
      <c r="B51" s="180" t="s">
        <v>275</v>
      </c>
      <c r="C51" s="180">
        <f>12/1000</f>
        <v>1.2E-2</v>
      </c>
      <c r="D51" s="180">
        <v>0.14199999999999999</v>
      </c>
      <c r="E51" s="181">
        <v>3.89</v>
      </c>
      <c r="F51" s="179">
        <v>0.54</v>
      </c>
      <c r="G51" s="336">
        <f t="shared" si="2"/>
        <v>4.0000000000000001E-3</v>
      </c>
      <c r="H51" s="336"/>
      <c r="I51" s="179">
        <v>2.09</v>
      </c>
    </row>
    <row r="52" spans="2:9">
      <c r="B52" s="180" t="s">
        <v>278</v>
      </c>
      <c r="C52" s="180">
        <f>7.5/1000</f>
        <v>7.4999999999999997E-3</v>
      </c>
      <c r="D52" s="180">
        <v>0.5</v>
      </c>
      <c r="E52" s="181">
        <v>2.71</v>
      </c>
      <c r="F52" s="179">
        <v>0.54</v>
      </c>
      <c r="G52" s="336">
        <f t="shared" si="2"/>
        <v>4.0000000000000001E-3</v>
      </c>
      <c r="H52" s="336"/>
      <c r="I52" s="179">
        <v>2.09</v>
      </c>
    </row>
    <row r="53" spans="2:9">
      <c r="B53" s="180" t="s">
        <v>281</v>
      </c>
      <c r="C53" s="180">
        <f>7.5/1000</f>
        <v>7.4999999999999997E-3</v>
      </c>
      <c r="D53" s="180">
        <v>0.5</v>
      </c>
      <c r="E53" s="181">
        <v>2.54</v>
      </c>
      <c r="F53" s="179">
        <v>0.54</v>
      </c>
      <c r="G53" s="336">
        <f t="shared" si="2"/>
        <v>4.0000000000000001E-3</v>
      </c>
      <c r="H53" s="336"/>
      <c r="I53" s="179">
        <v>2.09</v>
      </c>
    </row>
    <row r="54" spans="2:9">
      <c r="B54" s="180" t="s">
        <v>284</v>
      </c>
      <c r="C54" s="180">
        <f>25/1000</f>
        <v>2.5000000000000001E-2</v>
      </c>
      <c r="D54" s="180">
        <v>0.5</v>
      </c>
      <c r="E54" s="181">
        <v>12.17</v>
      </c>
      <c r="F54" s="179">
        <v>0.54</v>
      </c>
      <c r="G54" s="336">
        <f t="shared" si="2"/>
        <v>4.0000000000000001E-3</v>
      </c>
      <c r="H54" s="336"/>
      <c r="I54" s="179">
        <v>2.09</v>
      </c>
    </row>
    <row r="55" spans="2:9">
      <c r="B55" s="180" t="s">
        <v>287</v>
      </c>
      <c r="C55" s="180">
        <f>25/1000</f>
        <v>2.5000000000000001E-2</v>
      </c>
      <c r="D55" s="180">
        <v>0.5</v>
      </c>
      <c r="E55" s="181">
        <v>7.47</v>
      </c>
      <c r="F55" s="179">
        <v>0.54</v>
      </c>
      <c r="G55" s="336">
        <f t="shared" si="2"/>
        <v>4.0000000000000001E-3</v>
      </c>
      <c r="H55" s="336"/>
      <c r="I55" s="179">
        <v>2.09</v>
      </c>
    </row>
    <row r="56" spans="2:9">
      <c r="B56" s="180" t="s">
        <v>290</v>
      </c>
      <c r="C56" s="180">
        <f>25/1000</f>
        <v>2.5000000000000001E-2</v>
      </c>
      <c r="D56" s="180">
        <v>0.5</v>
      </c>
      <c r="E56" s="181">
        <v>5.98</v>
      </c>
      <c r="F56" s="179">
        <v>0.54</v>
      </c>
      <c r="G56" s="336">
        <f t="shared" si="2"/>
        <v>4.0000000000000001E-3</v>
      </c>
      <c r="H56" s="336"/>
      <c r="I56" s="179">
        <v>2.09</v>
      </c>
    </row>
    <row r="57" spans="2:9">
      <c r="B57" s="180" t="s">
        <v>293</v>
      </c>
      <c r="C57" s="179">
        <f>37.5/1000</f>
        <v>3.7499999999999999E-2</v>
      </c>
      <c r="D57" s="179">
        <v>0.25</v>
      </c>
      <c r="E57" s="179">
        <v>20.96</v>
      </c>
      <c r="F57" s="179">
        <v>0.41</v>
      </c>
      <c r="G57" s="336">
        <f>6.34/1000</f>
        <v>6.3400000000000001E-3</v>
      </c>
      <c r="H57" s="336"/>
      <c r="I57" s="179">
        <v>3.21</v>
      </c>
    </row>
    <row r="58" spans="2:9">
      <c r="B58" s="180" t="s">
        <v>297</v>
      </c>
      <c r="C58" s="179">
        <f>18/1000</f>
        <v>1.7999999999999999E-2</v>
      </c>
      <c r="D58" s="179">
        <v>0.5</v>
      </c>
      <c r="E58" s="179">
        <v>10.51</v>
      </c>
      <c r="F58" s="179">
        <v>0.41</v>
      </c>
      <c r="G58" s="336">
        <f t="shared" ref="G58:G61" si="3">6.34/1000</f>
        <v>6.3400000000000001E-3</v>
      </c>
      <c r="H58" s="336"/>
      <c r="I58" s="179">
        <v>3.21</v>
      </c>
    </row>
    <row r="59" spans="2:9">
      <c r="B59" s="180" t="s">
        <v>300</v>
      </c>
      <c r="C59" s="179">
        <f>4/1000</f>
        <v>4.0000000000000001E-3</v>
      </c>
      <c r="D59" s="179">
        <v>0.5</v>
      </c>
      <c r="E59" s="179">
        <v>6.04</v>
      </c>
      <c r="F59" s="179">
        <v>0.41</v>
      </c>
      <c r="G59" s="336">
        <f t="shared" si="3"/>
        <v>6.3400000000000001E-3</v>
      </c>
      <c r="H59" s="336"/>
      <c r="I59" s="179">
        <v>3.21</v>
      </c>
    </row>
    <row r="60" spans="2:9">
      <c r="B60" s="180" t="s">
        <v>303</v>
      </c>
      <c r="C60" s="179">
        <f>8/1000</f>
        <v>8.0000000000000002E-3</v>
      </c>
      <c r="D60" s="179">
        <v>0.5</v>
      </c>
      <c r="E60" s="179">
        <v>5.03</v>
      </c>
      <c r="F60" s="179">
        <v>0.41</v>
      </c>
      <c r="G60" s="336">
        <f t="shared" si="3"/>
        <v>6.3400000000000001E-3</v>
      </c>
      <c r="H60" s="336"/>
      <c r="I60" s="179">
        <v>3.21</v>
      </c>
    </row>
    <row r="61" spans="2:9">
      <c r="B61" s="180" t="s">
        <v>305</v>
      </c>
      <c r="C61" s="179">
        <f>20.25/1000</f>
        <v>2.0250000000000001E-2</v>
      </c>
      <c r="D61" s="179">
        <v>0.25</v>
      </c>
      <c r="E61" s="179">
        <v>9.36</v>
      </c>
      <c r="F61" s="179">
        <v>0.41</v>
      </c>
      <c r="G61" s="336">
        <f t="shared" si="3"/>
        <v>6.3400000000000001E-3</v>
      </c>
      <c r="H61" s="336"/>
      <c r="I61" s="179">
        <v>3.21</v>
      </c>
    </row>
    <row r="62" spans="2:9">
      <c r="B62" s="180" t="s">
        <v>309</v>
      </c>
      <c r="C62" s="179">
        <f>37.5/1000</f>
        <v>3.7499999999999999E-2</v>
      </c>
      <c r="D62" s="179">
        <v>0.25</v>
      </c>
      <c r="E62" s="179">
        <v>20.96</v>
      </c>
      <c r="F62" s="179">
        <v>0.41</v>
      </c>
      <c r="G62" s="336">
        <f>8.46/1000</f>
        <v>8.4600000000000005E-3</v>
      </c>
      <c r="H62" s="336"/>
      <c r="I62" s="179">
        <v>3.38</v>
      </c>
    </row>
    <row r="63" spans="2:9">
      <c r="B63" s="180" t="s">
        <v>311</v>
      </c>
      <c r="C63" s="179">
        <f>18/1000</f>
        <v>1.7999999999999999E-2</v>
      </c>
      <c r="D63" s="179">
        <v>0.5</v>
      </c>
      <c r="E63" s="179">
        <v>10.51</v>
      </c>
      <c r="F63" s="179">
        <v>0.41</v>
      </c>
      <c r="G63" s="336">
        <f t="shared" ref="G63:G66" si="4">8.46/1000</f>
        <v>8.4600000000000005E-3</v>
      </c>
      <c r="H63" s="336"/>
      <c r="I63" s="179">
        <v>3.38</v>
      </c>
    </row>
    <row r="64" spans="2:9">
      <c r="B64" s="180" t="s">
        <v>313</v>
      </c>
      <c r="C64" s="179">
        <f>4/1000</f>
        <v>4.0000000000000001E-3</v>
      </c>
      <c r="D64" s="179">
        <v>0.5</v>
      </c>
      <c r="E64" s="179">
        <v>6.04</v>
      </c>
      <c r="F64" s="179">
        <v>0.41</v>
      </c>
      <c r="G64" s="336">
        <f t="shared" si="4"/>
        <v>8.4600000000000005E-3</v>
      </c>
      <c r="H64" s="336"/>
      <c r="I64" s="179">
        <v>3.38</v>
      </c>
    </row>
    <row r="65" spans="2:10">
      <c r="B65" s="180" t="s">
        <v>316</v>
      </c>
      <c r="C65" s="179">
        <f>8/1000</f>
        <v>8.0000000000000002E-3</v>
      </c>
      <c r="D65" s="179">
        <v>0.5</v>
      </c>
      <c r="E65" s="179">
        <v>5.03</v>
      </c>
      <c r="F65" s="179">
        <v>0.41</v>
      </c>
      <c r="G65" s="336">
        <f t="shared" si="4"/>
        <v>8.4600000000000005E-3</v>
      </c>
      <c r="H65" s="336"/>
      <c r="I65" s="179">
        <v>3.38</v>
      </c>
    </row>
    <row r="66" spans="2:10">
      <c r="B66" s="180" t="s">
        <v>319</v>
      </c>
      <c r="C66" s="179">
        <f>20.25/1000</f>
        <v>2.0250000000000001E-2</v>
      </c>
      <c r="D66" s="179">
        <v>0.25</v>
      </c>
      <c r="E66" s="179">
        <v>9.36</v>
      </c>
      <c r="F66" s="179">
        <v>0.41</v>
      </c>
      <c r="G66" s="336">
        <f t="shared" si="4"/>
        <v>8.4600000000000005E-3</v>
      </c>
      <c r="H66" s="336"/>
      <c r="I66" s="179">
        <v>3.38</v>
      </c>
    </row>
    <row r="67" spans="2:10">
      <c r="B67" s="180" t="s">
        <v>321</v>
      </c>
      <c r="C67" s="179">
        <f>50/1000</f>
        <v>0.05</v>
      </c>
      <c r="D67" s="179">
        <v>0.14199999999999999</v>
      </c>
      <c r="E67" s="179">
        <v>3.28</v>
      </c>
      <c r="F67" s="179">
        <v>0.61</v>
      </c>
      <c r="G67" s="336">
        <f>3.6/1000</f>
        <v>3.5999999999999999E-3</v>
      </c>
      <c r="H67" s="336"/>
      <c r="I67" s="179">
        <v>1.65</v>
      </c>
    </row>
    <row r="68" spans="2:10">
      <c r="B68" s="180" t="s">
        <v>325</v>
      </c>
      <c r="C68" s="179">
        <f>66/1000</f>
        <v>6.6000000000000003E-2</v>
      </c>
      <c r="D68" s="179">
        <v>0.14199999999999999</v>
      </c>
      <c r="E68" s="179">
        <v>3.28</v>
      </c>
      <c r="F68" s="179">
        <v>0.61</v>
      </c>
      <c r="G68" s="336">
        <f>8/1000</f>
        <v>8.0000000000000002E-3</v>
      </c>
      <c r="H68" s="336"/>
      <c r="I68" s="179">
        <v>1.65</v>
      </c>
    </row>
    <row r="69" spans="2:10">
      <c r="B69" s="187"/>
      <c r="C69" s="187"/>
      <c r="D69" s="187"/>
      <c r="E69" s="187"/>
      <c r="F69" s="187"/>
      <c r="G69" s="187"/>
      <c r="H69" s="187"/>
      <c r="I69" s="187"/>
      <c r="J69" s="187"/>
    </row>
    <row r="70" spans="2:10">
      <c r="B70" s="187"/>
      <c r="C70" s="187"/>
      <c r="D70" s="187"/>
      <c r="E70" s="187"/>
      <c r="F70" s="187"/>
      <c r="G70" s="187" t="s">
        <v>478</v>
      </c>
      <c r="H70" s="187"/>
      <c r="I70" s="187"/>
      <c r="J70" s="187"/>
    </row>
    <row r="71" spans="2:10">
      <c r="B71" s="187"/>
      <c r="C71" s="187"/>
      <c r="D71" s="187" t="s">
        <v>181</v>
      </c>
      <c r="E71" s="187" t="s">
        <v>182</v>
      </c>
      <c r="F71" s="187" t="s">
        <v>183</v>
      </c>
      <c r="G71" s="187" t="s">
        <v>190</v>
      </c>
      <c r="H71" s="187" t="s">
        <v>195</v>
      </c>
      <c r="I71" s="187"/>
      <c r="J71" s="187"/>
    </row>
    <row r="72" spans="2:10">
      <c r="B72" s="187" t="s">
        <v>357</v>
      </c>
      <c r="C72" s="187">
        <v>3.5E-4</v>
      </c>
      <c r="D72" s="187">
        <v>6.8500000000000005E-2</v>
      </c>
      <c r="E72" s="187">
        <v>5.89</v>
      </c>
      <c r="F72" s="187">
        <v>3.5</v>
      </c>
      <c r="G72" s="187">
        <v>5.9499999999999956E-2</v>
      </c>
      <c r="H72" s="187">
        <v>0.85</v>
      </c>
      <c r="I72" s="187"/>
      <c r="J72" s="187"/>
    </row>
    <row r="73" spans="2:10">
      <c r="B73" s="187" t="s">
        <v>363</v>
      </c>
      <c r="C73" s="187">
        <v>2E-3</v>
      </c>
      <c r="D73" s="187">
        <v>6.8500000000000005E-2</v>
      </c>
      <c r="E73" s="187">
        <v>1.8</v>
      </c>
      <c r="F73" s="187">
        <v>2.2200000000000002</v>
      </c>
      <c r="G73" s="187">
        <v>0.1077</v>
      </c>
      <c r="H73" s="187">
        <v>0.3659</v>
      </c>
      <c r="I73" s="187"/>
      <c r="J73" s="187"/>
    </row>
    <row r="74" spans="2:10">
      <c r="B74" s="187" t="s">
        <v>369</v>
      </c>
      <c r="C74" s="187">
        <v>2E-3</v>
      </c>
      <c r="D74" s="187">
        <v>6.8500000000000005E-2</v>
      </c>
      <c r="E74" s="187">
        <v>1.8</v>
      </c>
      <c r="F74" s="187">
        <v>4.28</v>
      </c>
      <c r="G74" s="187">
        <v>0.15590000000000001</v>
      </c>
      <c r="H74" s="187">
        <v>0.31669999999999998</v>
      </c>
      <c r="I74" s="187"/>
      <c r="J74" s="187"/>
    </row>
    <row r="75" spans="2:10">
      <c r="B75" s="187" t="s">
        <v>374</v>
      </c>
      <c r="C75" s="187">
        <v>1.1999999999999999E-3</v>
      </c>
      <c r="D75" s="187">
        <v>0.14199999999999999</v>
      </c>
      <c r="E75" s="187">
        <v>3.87</v>
      </c>
      <c r="F75" s="187">
        <v>3.5</v>
      </c>
      <c r="G75" s="187">
        <v>5.9499999999999956E-2</v>
      </c>
      <c r="H75" s="187">
        <v>0.85</v>
      </c>
      <c r="I75" s="187"/>
      <c r="J75" s="187"/>
    </row>
    <row r="76" spans="2:10">
      <c r="B76" s="187" t="s">
        <v>379</v>
      </c>
      <c r="C76" s="187">
        <v>3.0000000000000001E-3</v>
      </c>
      <c r="D76" s="187">
        <v>0.14199999999999999</v>
      </c>
      <c r="E76" s="187">
        <v>2.08</v>
      </c>
      <c r="F76" s="187">
        <v>2.2200000000000002</v>
      </c>
      <c r="G76" s="187">
        <v>0.1077</v>
      </c>
      <c r="H76" s="187">
        <v>0.3659</v>
      </c>
      <c r="I76" s="187"/>
      <c r="J76" s="187"/>
    </row>
    <row r="77" spans="2:10">
      <c r="B77" s="187" t="s">
        <v>383</v>
      </c>
      <c r="C77" s="187">
        <v>3.0000000000000001E-3</v>
      </c>
      <c r="D77" s="187">
        <v>0.14199999999999999</v>
      </c>
      <c r="E77" s="187">
        <v>2.08</v>
      </c>
      <c r="F77" s="187">
        <v>4.28</v>
      </c>
      <c r="G77" s="187">
        <v>0.15590000000000001</v>
      </c>
      <c r="H77" s="187">
        <v>0.31669999999999998</v>
      </c>
      <c r="I77" s="187"/>
      <c r="J77" s="187"/>
    </row>
    <row r="78" spans="2:10">
      <c r="B78" s="187" t="s">
        <v>386</v>
      </c>
      <c r="C78" s="187">
        <v>2.5000000000000001E-3</v>
      </c>
      <c r="D78" s="187">
        <v>0.5</v>
      </c>
      <c r="E78" s="187">
        <v>2.71</v>
      </c>
      <c r="F78" s="187">
        <v>3.5</v>
      </c>
      <c r="G78" s="187">
        <v>5.9499999999999956E-2</v>
      </c>
      <c r="H78" s="187">
        <v>0.85</v>
      </c>
      <c r="I78" s="187"/>
      <c r="J78" s="187"/>
    </row>
    <row r="79" spans="2:10">
      <c r="B79" s="187" t="s">
        <v>391</v>
      </c>
      <c r="C79" s="187">
        <v>2.5000000000000001E-3</v>
      </c>
      <c r="D79" s="187">
        <v>0.5</v>
      </c>
      <c r="E79" s="187">
        <v>2.35</v>
      </c>
      <c r="F79" s="187">
        <v>3.5</v>
      </c>
      <c r="G79" s="187">
        <v>5.9499999999999956E-2</v>
      </c>
      <c r="H79" s="187">
        <v>0.85</v>
      </c>
      <c r="I79" s="187"/>
      <c r="J79" s="187"/>
    </row>
    <row r="80" spans="2:10">
      <c r="B80" s="187" t="s">
        <v>393</v>
      </c>
      <c r="C80" s="187">
        <v>8.4000000000000012E-3</v>
      </c>
      <c r="D80" s="187">
        <v>0.5</v>
      </c>
      <c r="E80" s="187">
        <v>12.07</v>
      </c>
      <c r="F80" s="187">
        <v>3.5</v>
      </c>
      <c r="G80" s="187">
        <v>5.9499999999999956E-2</v>
      </c>
      <c r="H80" s="187">
        <v>0.85</v>
      </c>
      <c r="I80" s="187"/>
      <c r="J80" s="187"/>
    </row>
    <row r="81" spans="2:10">
      <c r="B81" s="187" t="s">
        <v>396</v>
      </c>
      <c r="C81" s="187">
        <v>6.3E-3</v>
      </c>
      <c r="D81" s="187">
        <v>0.5</v>
      </c>
      <c r="E81" s="187">
        <v>7.24</v>
      </c>
      <c r="F81" s="187">
        <v>3.5</v>
      </c>
      <c r="G81" s="187">
        <v>5.9499999999999956E-2</v>
      </c>
      <c r="H81" s="187">
        <v>0.85</v>
      </c>
      <c r="I81" s="187"/>
      <c r="J81" s="187"/>
    </row>
    <row r="82" spans="2:10">
      <c r="B82" s="187" t="s">
        <v>398</v>
      </c>
      <c r="C82" s="187">
        <v>4.9000000000000007E-3</v>
      </c>
      <c r="D82" s="187">
        <v>0.5</v>
      </c>
      <c r="E82" s="187">
        <v>5.98</v>
      </c>
      <c r="F82" s="187">
        <v>3.5</v>
      </c>
      <c r="G82" s="187">
        <v>5.9499999999999956E-2</v>
      </c>
      <c r="H82" s="187">
        <v>0.85</v>
      </c>
      <c r="I82" s="187"/>
      <c r="J82" s="187"/>
    </row>
    <row r="83" spans="2:10">
      <c r="B83" s="187" t="s">
        <v>400</v>
      </c>
      <c r="C83" s="187">
        <v>2.5000000000000001E-3</v>
      </c>
      <c r="D83" s="187">
        <v>0.5</v>
      </c>
      <c r="E83" s="187">
        <v>2.6</v>
      </c>
      <c r="F83" s="187">
        <v>2.2200000000000002</v>
      </c>
      <c r="G83" s="187">
        <v>0.1077</v>
      </c>
      <c r="H83" s="187">
        <v>0.3659</v>
      </c>
      <c r="I83" s="187"/>
      <c r="J83" s="187"/>
    </row>
    <row r="84" spans="2:10">
      <c r="B84" s="187" t="s">
        <v>403</v>
      </c>
      <c r="C84" s="187">
        <v>2.5000000000000001E-3</v>
      </c>
      <c r="D84" s="187">
        <v>0.5</v>
      </c>
      <c r="E84" s="187">
        <v>2.6</v>
      </c>
      <c r="F84" s="187">
        <v>4.28</v>
      </c>
      <c r="G84" s="187">
        <v>0.15590000000000001</v>
      </c>
      <c r="H84" s="187">
        <v>0.31669999999999998</v>
      </c>
      <c r="I84" s="187"/>
      <c r="J84" s="187"/>
    </row>
    <row r="85" spans="2:10">
      <c r="B85" s="187" t="s">
        <v>405</v>
      </c>
      <c r="C85" s="187">
        <v>2.5000000000000001E-3</v>
      </c>
      <c r="D85" s="187">
        <v>0.5</v>
      </c>
      <c r="E85" s="187">
        <v>0.8</v>
      </c>
      <c r="F85" s="187">
        <v>2.2200000000000002</v>
      </c>
      <c r="G85" s="187">
        <v>0.1077</v>
      </c>
      <c r="H85" s="187">
        <v>0.3659</v>
      </c>
      <c r="I85" s="187"/>
      <c r="J85" s="187"/>
    </row>
    <row r="86" spans="2:10">
      <c r="B86" s="187" t="s">
        <v>407</v>
      </c>
      <c r="C86" s="187">
        <v>2.5000000000000001E-3</v>
      </c>
      <c r="D86" s="187">
        <v>0.5</v>
      </c>
      <c r="E86" s="187">
        <v>0.8</v>
      </c>
      <c r="F86" s="187">
        <v>4.28</v>
      </c>
      <c r="G86" s="187">
        <v>0.15590000000000001</v>
      </c>
      <c r="H86" s="187">
        <v>0.31669999999999998</v>
      </c>
      <c r="I86" s="187"/>
      <c r="J86" s="187"/>
    </row>
    <row r="87" spans="2:10">
      <c r="B87" s="187" t="s">
        <v>409</v>
      </c>
      <c r="C87" s="187">
        <v>8.4000000000000012E-3</v>
      </c>
      <c r="D87" s="187">
        <v>0.5</v>
      </c>
      <c r="E87" s="187">
        <v>1.7</v>
      </c>
      <c r="F87" s="187">
        <v>2.2200000000000002</v>
      </c>
      <c r="G87" s="187">
        <v>0.1077</v>
      </c>
      <c r="H87" s="187">
        <v>0.3659</v>
      </c>
      <c r="I87" s="187"/>
      <c r="J87" s="187"/>
    </row>
    <row r="88" spans="2:10">
      <c r="B88" s="187" t="s">
        <v>412</v>
      </c>
      <c r="C88" s="187">
        <v>8.4000000000000012E-3</v>
      </c>
      <c r="D88" s="187">
        <v>0.5</v>
      </c>
      <c r="E88" s="187">
        <v>1.7</v>
      </c>
      <c r="F88" s="187">
        <v>4.28</v>
      </c>
      <c r="G88" s="187">
        <v>0.15590000000000001</v>
      </c>
      <c r="H88" s="187">
        <v>0.31669999999999998</v>
      </c>
      <c r="I88" s="187"/>
      <c r="J88" s="187"/>
    </row>
    <row r="89" spans="2:10">
      <c r="B89" s="187" t="s">
        <v>414</v>
      </c>
      <c r="C89" s="187">
        <v>6.3E-3</v>
      </c>
      <c r="D89" s="187">
        <v>0.5</v>
      </c>
      <c r="E89" s="187">
        <v>1.8</v>
      </c>
      <c r="F89" s="187">
        <v>2.2200000000000002</v>
      </c>
      <c r="G89" s="187">
        <v>0.1077</v>
      </c>
      <c r="H89" s="187">
        <v>0.3659</v>
      </c>
      <c r="I89" s="187"/>
      <c r="J89" s="187"/>
    </row>
    <row r="90" spans="2:10">
      <c r="B90" s="187" t="s">
        <v>416</v>
      </c>
      <c r="C90" s="187">
        <v>6.3E-3</v>
      </c>
      <c r="D90" s="187">
        <v>0.5</v>
      </c>
      <c r="E90" s="187">
        <v>1.8</v>
      </c>
      <c r="F90" s="187">
        <v>4.28</v>
      </c>
      <c r="G90" s="187">
        <v>0.15590000000000001</v>
      </c>
      <c r="H90" s="187">
        <v>0.31669999999999998</v>
      </c>
      <c r="I90" s="187"/>
      <c r="J90" s="187"/>
    </row>
    <row r="91" spans="2:10">
      <c r="B91" s="187" t="s">
        <v>418</v>
      </c>
      <c r="C91" s="187">
        <v>4.9000000000000007E-3</v>
      </c>
      <c r="D91" s="187">
        <v>0.5</v>
      </c>
      <c r="E91" s="187">
        <v>1.9</v>
      </c>
      <c r="F91" s="187">
        <v>2.2200000000000002</v>
      </c>
      <c r="G91" s="187">
        <v>0.1077</v>
      </c>
      <c r="H91" s="187">
        <v>0.3659</v>
      </c>
      <c r="I91" s="187"/>
      <c r="J91" s="187"/>
    </row>
    <row r="92" spans="2:10">
      <c r="B92" t="s">
        <v>420</v>
      </c>
      <c r="C92">
        <v>4.9000000000000007E-3</v>
      </c>
      <c r="D92">
        <v>0.5</v>
      </c>
      <c r="E92">
        <v>1.9</v>
      </c>
      <c r="F92">
        <v>4.28</v>
      </c>
      <c r="G92">
        <v>0.15590000000000001</v>
      </c>
      <c r="H92">
        <v>0.31669999999999998</v>
      </c>
    </row>
  </sheetData>
  <sheetProtection algorithmName="SHA-512" hashValue="sHelOI+kEu5jz9Hqpwf9dl4emyOceRth8o109JSD+k566eFXxw/hLXzUOznxmFRtVNBLYUH5aI+rJ1bOTHHZUA==" saltValue="xSGjCCtQD+SNTlMG0AfjOg==" spinCount="100000" sheet="1" objects="1" scenarios="1"/>
  <mergeCells count="38">
    <mergeCell ref="G67:H67"/>
    <mergeCell ref="G68:H68"/>
    <mergeCell ref="G62:H62"/>
    <mergeCell ref="G63:H63"/>
    <mergeCell ref="G64:H64"/>
    <mergeCell ref="G65:H65"/>
    <mergeCell ref="G66:H66"/>
    <mergeCell ref="G57:H57"/>
    <mergeCell ref="G58:H58"/>
    <mergeCell ref="G59:H59"/>
    <mergeCell ref="G60:H60"/>
    <mergeCell ref="G61:H61"/>
    <mergeCell ref="G52:H52"/>
    <mergeCell ref="G53:H53"/>
    <mergeCell ref="G54:H54"/>
    <mergeCell ref="G55:H55"/>
    <mergeCell ref="G56:H56"/>
    <mergeCell ref="G47:H47"/>
    <mergeCell ref="G48:H48"/>
    <mergeCell ref="G49:H49"/>
    <mergeCell ref="G50:H50"/>
    <mergeCell ref="G51:H51"/>
    <mergeCell ref="G42:H42"/>
    <mergeCell ref="G43:H43"/>
    <mergeCell ref="G44:H44"/>
    <mergeCell ref="G45:H45"/>
    <mergeCell ref="G46:H46"/>
    <mergeCell ref="B37:B40"/>
    <mergeCell ref="C37:C40"/>
    <mergeCell ref="D37:I37"/>
    <mergeCell ref="G40:H40"/>
    <mergeCell ref="G41:H41"/>
    <mergeCell ref="G5:Q6"/>
    <mergeCell ref="G14:Q14"/>
    <mergeCell ref="A2:E5"/>
    <mergeCell ref="B23:B26"/>
    <mergeCell ref="C23:C26"/>
    <mergeCell ref="D23:I23"/>
  </mergeCells>
  <hyperlinks>
    <hyperlink ref="N4" r:id="rId1" display="https://guidelines.ash.gradepro.org/profile/Ah_EJo6LlkI" xr:uid="{A5BBE0A3-1308-4B7A-9F05-30AF371DFD29}"/>
    <hyperlink ref="G8" r:id="rId2" xr:uid="{836CA499-506D-492F-B2C8-9CE61C62F7EE}"/>
    <hyperlink ref="H13" r:id="rId3" xr:uid="{C0D3F71E-7B73-4EF3-82F4-1CFC111D12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Djulbegovic, Benjamin;ihozo@iu.edu</dc:creator>
  <cp:keywords/>
  <dc:description/>
  <cp:lastModifiedBy>Guest User</cp:lastModifiedBy>
  <cp:revision/>
  <dcterms:created xsi:type="dcterms:W3CDTF">2024-03-31T14:12:18Z</dcterms:created>
  <dcterms:modified xsi:type="dcterms:W3CDTF">2024-05-13T00:32:47Z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